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360" yWindow="45" windowWidth="19440" windowHeight="9975" firstSheet="2" activeTab="2"/>
  </bookViews>
  <sheets>
    <sheet name="correction_factor" sheetId="2" state="hidden" r:id="rId1"/>
    <sheet name="Requied_CN" sheetId="7" state="hidden" r:id="rId2"/>
    <sheet name="Field_Strength_Calculation" sheetId="10" r:id="rId3"/>
  </sheets>
  <definedNames>
    <definedName name="A" localSheetId="2">#REF!</definedName>
    <definedName name="A">#REF!</definedName>
    <definedName name="B" localSheetId="2">#REF!</definedName>
    <definedName name="B">#REF!</definedName>
    <definedName name="CodeRate">Requied_CN!$D$7:$D$30</definedName>
    <definedName name="Constellation">Requied_CN!$C$7:$C$30</definedName>
    <definedName name="Gauss">Requied_CN!$Q$7:$Q$30</definedName>
    <definedName name="Ray">Requied_CN!$S$7:$S$30</definedName>
    <definedName name="Rice">Requied_CN!$R$7:$R$30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6" i="10"/>
  <c r="F36"/>
  <c r="E36"/>
  <c r="I2" i="7"/>
  <c r="G21"/>
  <c r="H21"/>
  <c r="K21"/>
  <c r="M21"/>
  <c r="P21"/>
  <c r="S21"/>
  <c r="G29"/>
  <c r="H29"/>
  <c r="K29"/>
  <c r="M29"/>
  <c r="P29"/>
  <c r="S29"/>
  <c r="G27"/>
  <c r="H27"/>
  <c r="K27"/>
  <c r="M27"/>
  <c r="P27"/>
  <c r="S27"/>
  <c r="G12" i="10" a="1"/>
  <c r="G12"/>
  <c r="G14"/>
  <c r="G15"/>
  <c r="G16"/>
  <c r="G21"/>
  <c r="G22"/>
  <c r="G33"/>
  <c r="G34"/>
  <c r="G35"/>
  <c r="G37"/>
  <c r="F12" a="1"/>
  <c r="F12"/>
  <c r="F14"/>
  <c r="F15"/>
  <c r="F16"/>
  <c r="F21"/>
  <c r="F22"/>
  <c r="F33"/>
  <c r="F34"/>
  <c r="F35"/>
  <c r="F37"/>
  <c r="L21" i="7"/>
  <c r="O21"/>
  <c r="R21"/>
  <c r="L29"/>
  <c r="O29"/>
  <c r="R29"/>
  <c r="L27"/>
  <c r="O27"/>
  <c r="R27"/>
  <c r="E12" i="10" a="1"/>
  <c r="E12"/>
  <c r="E14"/>
  <c r="E15"/>
  <c r="E16"/>
  <c r="E21"/>
  <c r="E22"/>
  <c r="E33"/>
  <c r="E34"/>
  <c r="E35"/>
  <c r="E37"/>
  <c r="A31"/>
  <c r="A32"/>
  <c r="A33"/>
  <c r="A34"/>
  <c r="A35"/>
  <c r="A36"/>
  <c r="A37"/>
  <c r="A20"/>
  <c r="A21"/>
  <c r="A22"/>
  <c r="A23"/>
  <c r="A24"/>
  <c r="A25"/>
  <c r="A26"/>
  <c r="A27"/>
  <c r="A28"/>
  <c r="A12"/>
  <c r="A13"/>
  <c r="A14"/>
  <c r="A15"/>
  <c r="A16"/>
  <c r="A17"/>
  <c r="G23"/>
  <c r="F23"/>
  <c r="E23"/>
  <c r="G17"/>
  <c r="F17"/>
  <c r="E17"/>
  <c r="H7" i="7"/>
  <c r="G7"/>
  <c r="G10"/>
  <c r="H30"/>
  <c r="G30"/>
  <c r="H28"/>
  <c r="G28"/>
  <c r="H26"/>
  <c r="G26"/>
  <c r="H25"/>
  <c r="G25"/>
  <c r="H24"/>
  <c r="G24"/>
  <c r="H23"/>
  <c r="G23"/>
  <c r="H22"/>
  <c r="G22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H9"/>
  <c r="G9"/>
  <c r="H8"/>
  <c r="G8"/>
  <c r="K7"/>
  <c r="N7"/>
  <c r="K13"/>
  <c r="M13"/>
  <c r="N29"/>
  <c r="Q29"/>
  <c r="K8"/>
  <c r="N8"/>
  <c r="Q8"/>
  <c r="K12"/>
  <c r="M12"/>
  <c r="K16"/>
  <c r="L16"/>
  <c r="K20"/>
  <c r="L20"/>
  <c r="K24"/>
  <c r="N24"/>
  <c r="Q24"/>
  <c r="K15"/>
  <c r="L15"/>
  <c r="O15"/>
  <c r="R15"/>
  <c r="K14"/>
  <c r="L14"/>
  <c r="K22"/>
  <c r="L22"/>
  <c r="O22"/>
  <c r="R22"/>
  <c r="K26"/>
  <c r="N26"/>
  <c r="Q26"/>
  <c r="K30"/>
  <c r="L30"/>
  <c r="K9"/>
  <c r="L9"/>
  <c r="K19"/>
  <c r="N19"/>
  <c r="Q19"/>
  <c r="K11"/>
  <c r="L11"/>
  <c r="K23"/>
  <c r="L23"/>
  <c r="O23"/>
  <c r="R23"/>
  <c r="K10"/>
  <c r="N10"/>
  <c r="Q10"/>
  <c r="K18"/>
  <c r="L18"/>
  <c r="K28"/>
  <c r="N28"/>
  <c r="Q28"/>
  <c r="K17"/>
  <c r="M17"/>
  <c r="K25"/>
  <c r="N25"/>
  <c r="Q25"/>
  <c r="N2" i="2"/>
  <c r="O2"/>
  <c r="P2"/>
  <c r="Q2"/>
  <c r="R2"/>
  <c r="S2"/>
  <c r="T2"/>
  <c r="U2"/>
  <c r="V2"/>
  <c r="W2"/>
  <c r="X2"/>
  <c r="Y2"/>
  <c r="Z2"/>
  <c r="AA2"/>
  <c r="AB2"/>
  <c r="AC2"/>
  <c r="AD2"/>
  <c r="L24" i="7"/>
  <c r="O24"/>
  <c r="R24"/>
  <c r="M24"/>
  <c r="P24"/>
  <c r="S24"/>
  <c r="N27"/>
  <c r="Q27"/>
  <c r="N13"/>
  <c r="Q13"/>
  <c r="L19"/>
  <c r="O19"/>
  <c r="M10"/>
  <c r="P10"/>
  <c r="S10"/>
  <c r="L10"/>
  <c r="O10"/>
  <c r="R10"/>
  <c r="N17"/>
  <c r="Q17"/>
  <c r="M19"/>
  <c r="P19"/>
  <c r="S19"/>
  <c r="N22"/>
  <c r="Q22"/>
  <c r="L13"/>
  <c r="O13"/>
  <c r="R13"/>
  <c r="N21"/>
  <c r="Q21"/>
  <c r="M20"/>
  <c r="P20"/>
  <c r="S20"/>
  <c r="N20"/>
  <c r="Q20"/>
  <c r="L12"/>
  <c r="O12"/>
  <c r="R12"/>
  <c r="M8"/>
  <c r="P8"/>
  <c r="S8"/>
  <c r="N12"/>
  <c r="Q12"/>
  <c r="N16"/>
  <c r="Q16"/>
  <c r="M16"/>
  <c r="P16"/>
  <c r="S16"/>
  <c r="M28"/>
  <c r="P28"/>
  <c r="S28"/>
  <c r="O30"/>
  <c r="R30"/>
  <c r="N30"/>
  <c r="Q30"/>
  <c r="N18"/>
  <c r="Q18"/>
  <c r="L28"/>
  <c r="O28"/>
  <c r="R28"/>
  <c r="M9"/>
  <c r="P9"/>
  <c r="S9"/>
  <c r="L25"/>
  <c r="O25"/>
  <c r="R25"/>
  <c r="M30"/>
  <c r="P30"/>
  <c r="S30"/>
  <c r="L8"/>
  <c r="O8"/>
  <c r="R8"/>
  <c r="N9"/>
  <c r="Q9"/>
  <c r="M25"/>
  <c r="P25"/>
  <c r="S25"/>
  <c r="M18"/>
  <c r="P18"/>
  <c r="S18"/>
  <c r="O11"/>
  <c r="R11"/>
  <c r="M15"/>
  <c r="P15"/>
  <c r="S15"/>
  <c r="M22"/>
  <c r="P22"/>
  <c r="S22"/>
  <c r="M14"/>
  <c r="P14"/>
  <c r="S14"/>
  <c r="N15"/>
  <c r="Q15"/>
  <c r="O14"/>
  <c r="R14"/>
  <c r="M23"/>
  <c r="P23"/>
  <c r="S23"/>
  <c r="N11"/>
  <c r="Q11"/>
  <c r="L26"/>
  <c r="O26"/>
  <c r="R26"/>
  <c r="N23"/>
  <c r="Q23"/>
  <c r="M11"/>
  <c r="P11"/>
  <c r="S11"/>
  <c r="N14"/>
  <c r="Q14"/>
  <c r="M26"/>
  <c r="P26"/>
  <c r="S26"/>
  <c r="L17"/>
  <c r="O17"/>
  <c r="R17"/>
  <c r="Q7"/>
  <c r="L7"/>
  <c r="O7"/>
  <c r="R7"/>
  <c r="M7"/>
  <c r="P7"/>
  <c r="S7"/>
  <c r="O18"/>
  <c r="R18"/>
  <c r="O9"/>
  <c r="R9"/>
  <c r="P12"/>
  <c r="S12"/>
  <c r="P13"/>
  <c r="S13"/>
  <c r="O16"/>
  <c r="R16"/>
  <c r="P17"/>
  <c r="S17"/>
  <c r="O20"/>
  <c r="R20"/>
  <c r="R19"/>
</calcChain>
</file>

<file path=xl/sharedStrings.xml><?xml version="1.0" encoding="utf-8"?>
<sst xmlns="http://schemas.openxmlformats.org/spreadsheetml/2006/main" count="192" uniqueCount="133">
  <si>
    <t>According to EBU Tech 3348</t>
  </si>
  <si>
    <t>Pilot Pattern</t>
  </si>
  <si>
    <t>Constellation</t>
  </si>
  <si>
    <t>C/N Gauss-raw</t>
  </si>
  <si>
    <t>A</t>
  </si>
  <si>
    <t>B</t>
  </si>
  <si>
    <t>C</t>
  </si>
  <si>
    <t>Delta C/N Rice</t>
  </si>
  <si>
    <t>Delta C/N Rayleigh</t>
  </si>
  <si>
    <t>C/N' Gauss</t>
  </si>
  <si>
    <t>C/N' Rice</t>
  </si>
  <si>
    <t>C/N' Rayleigh</t>
  </si>
  <si>
    <t>D Gauss</t>
  </si>
  <si>
    <t>D Rice</t>
  </si>
  <si>
    <t>D Rayleigh</t>
  </si>
  <si>
    <t>C/N Gauss</t>
  </si>
  <si>
    <t>C/N Rice</t>
  </si>
  <si>
    <t>C/N Rayleigh</t>
  </si>
  <si>
    <t>QPSK</t>
  </si>
  <si>
    <t>1/2</t>
  </si>
  <si>
    <t>3/5</t>
  </si>
  <si>
    <t>2/3</t>
  </si>
  <si>
    <t>3/4</t>
  </si>
  <si>
    <t>4/5</t>
  </si>
  <si>
    <t>5/6</t>
  </si>
  <si>
    <t>16-QAM</t>
  </si>
  <si>
    <t>64-QAM</t>
  </si>
  <si>
    <t>256-QAM</t>
  </si>
  <si>
    <t>รูปแบบสัญญาณไพลอต (pilot pattern)</t>
  </si>
  <si>
    <t>ค่าสำหรับการปรับปรุง (correction factor)</t>
  </si>
  <si>
    <t>PP1</t>
  </si>
  <si>
    <t>PP2</t>
  </si>
  <si>
    <t>PP3</t>
  </si>
  <si>
    <t>PP4</t>
  </si>
  <si>
    <t>PP5</t>
  </si>
  <si>
    <t>PP6</t>
  </si>
  <si>
    <t>PP7</t>
  </si>
  <si>
    <t>PP8</t>
  </si>
  <si>
    <t>C/N' (dB)</t>
  </si>
  <si>
    <t>A = BER 10-7 correction</t>
  </si>
  <si>
    <t>D (dB)</t>
  </si>
  <si>
    <t>B = Pilot Boost correction</t>
  </si>
  <si>
    <t>C= Real channel estimation</t>
  </si>
  <si>
    <t>หน่วย</t>
  </si>
  <si>
    <t xml:space="preserve"> Fixed </t>
  </si>
  <si>
    <t xml:space="preserve"> Portable outdoor</t>
  </si>
  <si>
    <t xml:space="preserve"> Portable Indoor</t>
  </si>
  <si>
    <t>MHz</t>
  </si>
  <si>
    <t>C/N</t>
  </si>
  <si>
    <t>dB</t>
  </si>
  <si>
    <t>F</t>
  </si>
  <si>
    <t>dBW</t>
  </si>
  <si>
    <t>dBw</t>
  </si>
  <si>
    <t>dBµV/m</t>
  </si>
  <si>
    <t>%</t>
  </si>
  <si>
    <t>µ</t>
  </si>
  <si>
    <t>s</t>
  </si>
  <si>
    <t>Code Rate</t>
  </si>
  <si>
    <t xml:space="preserve">Pilot Pattern </t>
  </si>
  <si>
    <t>ความถี่วิทยุ (Frequency)</t>
  </si>
  <si>
    <t>อัตราส่วนคลื่นพาห์ต่อสัญญาณรบกวนที่ต้องการ (Minimum C/N Required by System)</t>
  </si>
  <si>
    <t xml:space="preserve">ตัวเลขแสดงสัญญาณรบกวนของเครื่องรับ(Receiver Noise Figure) </t>
  </si>
  <si>
    <t>แบนด์วิดท์สมมูลของสัญญาณรบกวน(Equivalent Noise Bandwidth)</t>
  </si>
  <si>
    <t>กำลังของสัญญาณรบกวนขาเข้าในเครื่องรับ (Receiver Noise Input Power)</t>
  </si>
  <si>
    <t>กำลังต่ำสุดของสัญญาณขาเข้าในเครื่องรับ (Min. Receiver Signal Input Power)</t>
  </si>
  <si>
    <t>ค่าแรงดันไฟฟ้าสมมูลต่ำสุดที่ขาเข้าของเครื่องรับซึ่งมีอิมพีแดนซ์ขาเข้า 75 โอห์ม (Min. Equivalent Receiver  Input Voltage, 75 ohms)</t>
  </si>
  <si>
    <t>ค่าความสูญเสียในฟีดเดอร์ (Feeder  Loss)</t>
  </si>
  <si>
    <t>อัตราขยายสายอากาศเทียบกับสายอากาศแบบครึ่งไดโพล (Antenna Gain Relative to Half Dipole)</t>
  </si>
  <si>
    <t>พื้นที่ประสิทธิผลของสายอากาศ (Effective Antenna Aperture)</t>
  </si>
  <si>
    <t>ความหนาแน่นของฟลักซ์กำลังต่ำสุด ณ จุดรับสัญญาณ (Min. Power Flux Density at Receiving Location)</t>
  </si>
  <si>
    <t>ค่าความแรงสนามไฟฟ้าสมมูลต่ำสุด ณ จุดรับสัญญาณ (Min. Equivalent Field Strength  at Receiving Location)</t>
  </si>
  <si>
    <t>ค่าสัญญาณรบกวนที่เกิดขึ้นจากสิ่งประดิษฐ์ที่มนุษย์สร้างขึ้น (Allowance for Man-Made Noise)</t>
  </si>
  <si>
    <t>ระดับความสูงจากพื้นดินของจุดรับสัญญาณ (Height Above Ground Level  (a.g.l.) of Receiving Location)</t>
  </si>
  <si>
    <t>ความสูญเสียจากระดับความสูง จาก 10 เมตรลงมายัง 1.5 เมตร (Height Loss from 10 m to 1.5 m)</t>
  </si>
  <si>
    <t>ความสูญเสียจากการแพร่กระจายสัญญาณสู่อาคาร (Building Penetration Loss)</t>
  </si>
  <si>
    <t>ค่าเบี่ยงเบนมาตรฐานของความสูญเสียจากการแพร่กระจายสัญญาณสู่อาคาร(Standard Deviation of the Penetration Loss)</t>
  </si>
  <si>
    <r>
      <t>เปอร์เซ็นต์ของพื้นที่ครอบคลุมที่ต้องการ</t>
    </r>
    <r>
      <rPr>
        <sz val="14"/>
        <color theme="1"/>
        <rFont val="TH SarabunPSK"/>
        <family val="2"/>
      </rPr>
      <t xml:space="preserve"> (Location Percentage Requirement)</t>
    </r>
  </si>
  <si>
    <t>แฟกเตอร์การกระจาย (Distribution Factor)</t>
  </si>
  <si>
    <t>ค่าเบี่ยงเบนมาตรฐาน (Standard Deviation)</t>
  </si>
  <si>
    <t>ค่าปรับแก้สำหรับตำแหน่งรับสัญญาณ (Location Correction Factor)</t>
  </si>
  <si>
    <t>ความหนาแน่นของฟลักซ์กำลังต่ำสุดโดยเฉลี่ย ณ จุดรับสัญญาณที่ค่าความน่าจะเป็นเท่ากับ 50% เชิงเวลา และ 50% เชิงพื้นที่ (Min. Median Power Flux Density at Reception Height; 50% time and 50% location)</t>
  </si>
  <si>
    <t>ค่าความแรงสนามไฟฟ้าสมมูลต่ำสุดที่ต้องการ ณ จุดรับสัญญาณที่ค่าความน่าจะเป็นเท่ากับ 50% เชิงเวลา และ 50% เชิงพื้นที่ (Min. Median Equivalent Field Strength at Reception Height; 50% time and 50% location)</t>
  </si>
  <si>
    <t>-</t>
  </si>
  <si>
    <t>f</t>
  </si>
  <si>
    <r>
      <t>P</t>
    </r>
    <r>
      <rPr>
        <vertAlign val="subscript"/>
        <sz val="14"/>
        <color rgb="FF000000"/>
        <rFont val="TH SarabunPSK"/>
        <family val="2"/>
      </rPr>
      <t>n</t>
    </r>
  </si>
  <si>
    <r>
      <t>P</t>
    </r>
    <r>
      <rPr>
        <vertAlign val="subscript"/>
        <sz val="14"/>
        <color rgb="FF000000"/>
        <rFont val="TH SarabunPSK"/>
        <family val="2"/>
      </rPr>
      <t>s min</t>
    </r>
  </si>
  <si>
    <r>
      <t>L</t>
    </r>
    <r>
      <rPr>
        <vertAlign val="subscript"/>
        <sz val="14"/>
        <color rgb="FF000000"/>
        <rFont val="TH SarabunPSK"/>
        <family val="2"/>
      </rPr>
      <t>f</t>
    </r>
  </si>
  <si>
    <r>
      <t>G</t>
    </r>
    <r>
      <rPr>
        <vertAlign val="subscript"/>
        <sz val="14"/>
        <color rgb="FF000000"/>
        <rFont val="TH SarabunPSK"/>
        <family val="2"/>
      </rPr>
      <t>d</t>
    </r>
  </si>
  <si>
    <r>
      <t>A</t>
    </r>
    <r>
      <rPr>
        <vertAlign val="subscript"/>
        <sz val="14"/>
        <color rgb="FF000000"/>
        <rFont val="TH SarabunPSK"/>
        <family val="2"/>
      </rPr>
      <t>a</t>
    </r>
  </si>
  <si>
    <r>
      <t>F</t>
    </r>
    <r>
      <rPr>
        <vertAlign val="subscript"/>
        <sz val="14"/>
        <color rgb="FF000000"/>
        <rFont val="TH SarabunPSK"/>
        <family val="2"/>
      </rPr>
      <t>min</t>
    </r>
  </si>
  <si>
    <r>
      <t>E</t>
    </r>
    <r>
      <rPr>
        <vertAlign val="subscript"/>
        <sz val="14"/>
        <color rgb="FF000000"/>
        <rFont val="TH SarabunPSK"/>
        <family val="2"/>
      </rPr>
      <t>min</t>
    </r>
  </si>
  <si>
    <r>
      <t>P</t>
    </r>
    <r>
      <rPr>
        <vertAlign val="subscript"/>
        <sz val="14"/>
        <color rgb="FF000000"/>
        <rFont val="TH SarabunPSK"/>
        <family val="2"/>
      </rPr>
      <t>mmn</t>
    </r>
  </si>
  <si>
    <t>m</t>
  </si>
  <si>
    <r>
      <t>L</t>
    </r>
    <r>
      <rPr>
        <vertAlign val="subscript"/>
        <sz val="14"/>
        <color rgb="FF000000"/>
        <rFont val="TH SarabunPSK"/>
        <family val="2"/>
      </rPr>
      <t>h</t>
    </r>
  </si>
  <si>
    <r>
      <t>L</t>
    </r>
    <r>
      <rPr>
        <vertAlign val="subscript"/>
        <sz val="14"/>
        <color rgb="FF000000"/>
        <rFont val="TH SarabunPSK"/>
        <family val="2"/>
      </rPr>
      <t>b</t>
    </r>
  </si>
  <si>
    <r>
      <t>C</t>
    </r>
    <r>
      <rPr>
        <vertAlign val="subscript"/>
        <sz val="14"/>
        <color rgb="FF000000"/>
        <rFont val="TH SarabunPSK"/>
        <family val="2"/>
      </rPr>
      <t>l</t>
    </r>
  </si>
  <si>
    <r>
      <t>F</t>
    </r>
    <r>
      <rPr>
        <vertAlign val="subscript"/>
        <sz val="14"/>
        <color rgb="FF000000"/>
        <rFont val="TH SarabunPSK"/>
        <family val="2"/>
      </rPr>
      <t>med</t>
    </r>
  </si>
  <si>
    <r>
      <t>dBW/m</t>
    </r>
    <r>
      <rPr>
        <vertAlign val="superscript"/>
        <sz val="14"/>
        <color rgb="FF000000"/>
        <rFont val="TH SarabunPSK"/>
        <family val="2"/>
      </rPr>
      <t>2</t>
    </r>
  </si>
  <si>
    <r>
      <t>E</t>
    </r>
    <r>
      <rPr>
        <vertAlign val="subscript"/>
        <sz val="14"/>
        <color rgb="FF000000"/>
        <rFont val="TH SarabunPSK"/>
        <family val="2"/>
      </rPr>
      <t>med</t>
    </r>
  </si>
  <si>
    <r>
      <t>U</t>
    </r>
    <r>
      <rPr>
        <vertAlign val="subscript"/>
        <sz val="14"/>
        <color rgb="FF000000"/>
        <rFont val="TH SarabunPSK"/>
        <family val="2"/>
      </rPr>
      <t>min</t>
    </r>
  </si>
  <si>
    <t>dBµV</t>
  </si>
  <si>
    <r>
      <t>dB</t>
    </r>
    <r>
      <rPr>
        <sz val="14"/>
        <color rgb="FF000000"/>
        <rFont val="Wingdings 2"/>
        <family val="1"/>
        <charset val="2"/>
      </rPr>
      <t></t>
    </r>
    <r>
      <rPr>
        <sz val="14"/>
        <color rgb="FF000000"/>
        <rFont val="TH SarabunPSK"/>
        <family val="2"/>
      </rPr>
      <t>m</t>
    </r>
    <r>
      <rPr>
        <vertAlign val="superscript"/>
        <sz val="14"/>
        <color rgb="FF000000"/>
        <rFont val="TH SarabunPSK"/>
        <family val="2"/>
      </rPr>
      <t>2</t>
    </r>
  </si>
  <si>
    <t>รายการ</t>
  </si>
  <si>
    <t>สัญลักษณ์</t>
  </si>
  <si>
    <t>รูปแบบของการรับสัญญาณ (Reception mode)</t>
  </si>
  <si>
    <t>Bandwidth (MHz)</t>
  </si>
  <si>
    <t>การคำนวณค่าความแรงสนามไฟฟ้าสมมูลต่ำสุดที่ต้องการของการรับสัญญาณลักษณะต่างๆ</t>
  </si>
  <si>
    <t>โดย กลุ่มงานมาตรฐานและเทคโนโลยีกระจายเสียงและโทรทัศน์ 
สำนักงานคณะกรรมการกิจการกระจายเสียง กิจการโทรทัศน์ และกิจการโทรคมนาคมแห่งชาติ</t>
  </si>
  <si>
    <r>
      <t>P</t>
    </r>
    <r>
      <rPr>
        <vertAlign val="subscript"/>
        <sz val="14"/>
        <color rgb="FF000000"/>
        <rFont val="TH SarabunPSK"/>
        <family val="2"/>
      </rPr>
      <t>n</t>
    </r>
    <r>
      <rPr>
        <sz val="14"/>
        <color rgb="FF000000"/>
        <rFont val="TH SarabunPSK"/>
        <family val="2"/>
      </rPr>
      <t xml:space="preserve"> = F + 10 log (k </t>
    </r>
    <r>
      <rPr>
        <sz val="14"/>
        <color rgb="FF000000"/>
        <rFont val="Wingdings 2"/>
        <family val="1"/>
        <charset val="2"/>
      </rPr>
      <t></t>
    </r>
    <r>
      <rPr>
        <sz val="14"/>
        <color rgb="FF000000"/>
        <rFont val="TH SarabunPSK"/>
        <family val="2"/>
      </rPr>
      <t xml:space="preserve"> T</t>
    </r>
    <r>
      <rPr>
        <vertAlign val="subscript"/>
        <sz val="14"/>
        <color rgb="FF000000"/>
        <rFont val="TH SarabunPSK"/>
        <family val="2"/>
      </rPr>
      <t>0</t>
    </r>
    <r>
      <rPr>
        <sz val="14"/>
        <color rgb="FF000000"/>
        <rFont val="TH SarabunPSK"/>
        <family val="2"/>
      </rPr>
      <t xml:space="preserve"> </t>
    </r>
    <r>
      <rPr>
        <sz val="14"/>
        <color rgb="FF000000"/>
        <rFont val="Wingdings 2"/>
        <family val="1"/>
        <charset val="2"/>
      </rPr>
      <t></t>
    </r>
    <r>
      <rPr>
        <sz val="14"/>
        <color rgb="FF000000"/>
        <rFont val="TH SarabunPSK"/>
        <family val="2"/>
      </rPr>
      <t xml:space="preserve"> B)</t>
    </r>
  </si>
  <si>
    <r>
      <t>P</t>
    </r>
    <r>
      <rPr>
        <vertAlign val="subscript"/>
        <sz val="14"/>
        <color rgb="FF000000"/>
        <rFont val="TH SarabunPSK"/>
        <family val="2"/>
      </rPr>
      <t>s min</t>
    </r>
    <r>
      <rPr>
        <sz val="14"/>
        <color rgb="FF000000"/>
        <rFont val="TH SarabunPSK"/>
        <family val="2"/>
      </rPr>
      <t xml:space="preserve"> = P</t>
    </r>
    <r>
      <rPr>
        <vertAlign val="subscript"/>
        <sz val="14"/>
        <color rgb="FF000000"/>
        <rFont val="TH SarabunPSK"/>
        <family val="2"/>
      </rPr>
      <t>n</t>
    </r>
    <r>
      <rPr>
        <sz val="14"/>
        <color rgb="FF000000"/>
        <rFont val="TH SarabunPSK"/>
        <family val="2"/>
      </rPr>
      <t xml:space="preserve"> + C/N</t>
    </r>
  </si>
  <si>
    <r>
      <t>U</t>
    </r>
    <r>
      <rPr>
        <vertAlign val="subscript"/>
        <sz val="14"/>
        <color rgb="FF000000"/>
        <rFont val="TH SarabunPSK"/>
        <family val="2"/>
      </rPr>
      <t>min</t>
    </r>
    <r>
      <rPr>
        <sz val="14"/>
        <color theme="1"/>
        <rFont val="TH SarabunPSK"/>
        <family val="2"/>
      </rPr>
      <t xml:space="preserve"> = P</t>
    </r>
    <r>
      <rPr>
        <vertAlign val="subscript"/>
        <sz val="14"/>
        <color theme="1"/>
        <rFont val="TH SarabunPSK"/>
        <family val="2"/>
      </rPr>
      <t>s min</t>
    </r>
    <r>
      <rPr>
        <sz val="14"/>
        <color theme="1"/>
        <rFont val="TH SarabunPSK"/>
        <family val="2"/>
      </rPr>
      <t xml:space="preserve"> + 120 + 10 log (Z</t>
    </r>
    <r>
      <rPr>
        <vertAlign val="subscript"/>
        <sz val="14"/>
        <color theme="1"/>
        <rFont val="TH SarabunPSK"/>
        <family val="2"/>
      </rPr>
      <t>i</t>
    </r>
    <r>
      <rPr>
        <sz val="14"/>
        <color theme="1"/>
        <rFont val="TH SarabunPSK"/>
        <family val="2"/>
      </rPr>
      <t>)</t>
    </r>
  </si>
  <si>
    <r>
      <t>A</t>
    </r>
    <r>
      <rPr>
        <vertAlign val="subscript"/>
        <sz val="14"/>
        <color rgb="FF000000"/>
        <rFont val="TH SarabunPSK"/>
        <family val="2"/>
      </rPr>
      <t>a</t>
    </r>
    <r>
      <rPr>
        <sz val="14"/>
        <color rgb="FF000000"/>
        <rFont val="TH SarabunPSK"/>
        <family val="2"/>
      </rPr>
      <t xml:space="preserve"> = G</t>
    </r>
    <r>
      <rPr>
        <vertAlign val="subscript"/>
        <sz val="14"/>
        <color rgb="FF000000"/>
        <rFont val="TH SarabunPSK"/>
        <family val="2"/>
      </rPr>
      <t>iso</t>
    </r>
    <r>
      <rPr>
        <sz val="14"/>
        <color rgb="FF000000"/>
        <rFont val="TH SarabunPSK"/>
        <family val="2"/>
      </rPr>
      <t xml:space="preserve"> + 10log(</t>
    </r>
    <r>
      <rPr>
        <sz val="14"/>
        <color rgb="FF000000"/>
        <rFont val="Symbol"/>
        <family val="1"/>
        <charset val="2"/>
      </rPr>
      <t>l</t>
    </r>
    <r>
      <rPr>
        <vertAlign val="superscript"/>
        <sz val="14"/>
        <color rgb="FF000000"/>
        <rFont val="TH SarabunPSK"/>
        <family val="2"/>
      </rPr>
      <t>2</t>
    </r>
    <r>
      <rPr>
        <sz val="14"/>
        <color rgb="FF000000"/>
        <rFont val="TH SarabunPSK"/>
        <family val="2"/>
      </rPr>
      <t>/4</t>
    </r>
    <r>
      <rPr>
        <sz val="14"/>
        <color rgb="FF000000"/>
        <rFont val="Symbol"/>
        <family val="1"/>
        <charset val="2"/>
      </rPr>
      <t>p</t>
    </r>
    <r>
      <rPr>
        <sz val="14"/>
        <color rgb="FF000000"/>
        <rFont val="TH SarabunPSK"/>
        <family val="2"/>
      </rPr>
      <t>) = G</t>
    </r>
    <r>
      <rPr>
        <vertAlign val="subscript"/>
        <sz val="14"/>
        <color rgb="FF000000"/>
        <rFont val="TH SarabunPSK"/>
        <family val="2"/>
      </rPr>
      <t>d</t>
    </r>
    <r>
      <rPr>
        <sz val="14"/>
        <color rgb="FF000000"/>
        <rFont val="TH SarabunPSK"/>
        <family val="2"/>
      </rPr>
      <t xml:space="preserve"> - 15.57</t>
    </r>
  </si>
  <si>
    <r>
      <t>F</t>
    </r>
    <r>
      <rPr>
        <vertAlign val="subscript"/>
        <sz val="14"/>
        <color rgb="FF000000"/>
        <rFont val="TH SarabunPSK"/>
        <family val="2"/>
      </rPr>
      <t>min</t>
    </r>
    <r>
      <rPr>
        <sz val="14"/>
        <color rgb="FF000000"/>
        <rFont val="TH SarabunPSK"/>
        <family val="2"/>
      </rPr>
      <t xml:space="preserve"> =P</t>
    </r>
    <r>
      <rPr>
        <vertAlign val="subscript"/>
        <sz val="14"/>
        <color rgb="FF000000"/>
        <rFont val="TH SarabunPSK"/>
        <family val="2"/>
      </rPr>
      <t>s min</t>
    </r>
    <r>
      <rPr>
        <sz val="14"/>
        <color rgb="FF000000"/>
        <rFont val="TH SarabunPSK"/>
        <family val="2"/>
      </rPr>
      <t xml:space="preserve"> - A</t>
    </r>
    <r>
      <rPr>
        <vertAlign val="subscript"/>
        <sz val="14"/>
        <color rgb="FF000000"/>
        <rFont val="TH SarabunPSK"/>
        <family val="2"/>
      </rPr>
      <t>a</t>
    </r>
    <r>
      <rPr>
        <sz val="14"/>
        <color rgb="FF000000"/>
        <rFont val="TH SarabunPSK"/>
        <family val="2"/>
      </rPr>
      <t xml:space="preserve"> + L</t>
    </r>
    <r>
      <rPr>
        <vertAlign val="subscript"/>
        <sz val="14"/>
        <color rgb="FF000000"/>
        <rFont val="TH SarabunPSK"/>
        <family val="2"/>
      </rPr>
      <t>f</t>
    </r>
  </si>
  <si>
    <r>
      <t>E</t>
    </r>
    <r>
      <rPr>
        <vertAlign val="subscript"/>
        <sz val="14"/>
        <color rgb="FF000000"/>
        <rFont val="TH SarabunPSK"/>
        <family val="2"/>
      </rPr>
      <t>min</t>
    </r>
    <r>
      <rPr>
        <sz val="14"/>
        <color rgb="FF000000"/>
        <rFont val="TH SarabunPSK"/>
        <family val="2"/>
      </rPr>
      <t xml:space="preserve"> =  </t>
    </r>
    <r>
      <rPr>
        <sz val="14"/>
        <color rgb="FF000000"/>
        <rFont val="Symbol"/>
        <family val="1"/>
        <charset val="2"/>
      </rPr>
      <t>F</t>
    </r>
    <r>
      <rPr>
        <vertAlign val="subscript"/>
        <sz val="14"/>
        <color rgb="FF000000"/>
        <rFont val="TH SarabunPSK"/>
        <family val="2"/>
      </rPr>
      <t>min</t>
    </r>
    <r>
      <rPr>
        <sz val="14"/>
        <color rgb="FF000000"/>
        <rFont val="TH SarabunPSK"/>
        <family val="2"/>
      </rPr>
      <t xml:space="preserve"> + 120 + 10 log (120</t>
    </r>
    <r>
      <rPr>
        <sz val="14"/>
        <color rgb="FF000000"/>
        <rFont val="Symbol"/>
        <family val="1"/>
        <charset val="2"/>
      </rPr>
      <t>p</t>
    </r>
    <r>
      <rPr>
        <sz val="14"/>
        <color rgb="FF000000"/>
        <rFont val="TH SarabunPSK"/>
        <family val="2"/>
      </rPr>
      <t xml:space="preserve">) = </t>
    </r>
    <r>
      <rPr>
        <sz val="14"/>
        <color rgb="FF000000"/>
        <rFont val="Symbol"/>
        <family val="1"/>
        <charset val="2"/>
      </rPr>
      <t>F</t>
    </r>
    <r>
      <rPr>
        <vertAlign val="subscript"/>
        <sz val="14"/>
        <color rgb="FF000000"/>
        <rFont val="TH SarabunPSK"/>
        <family val="2"/>
      </rPr>
      <t>min</t>
    </r>
    <r>
      <rPr>
        <sz val="14"/>
        <color rgb="FF000000"/>
        <rFont val="TH SarabunPSK"/>
        <family val="2"/>
      </rPr>
      <t xml:space="preserve"> +145.8</t>
    </r>
  </si>
  <si>
    <r>
      <t>C</t>
    </r>
    <r>
      <rPr>
        <vertAlign val="subscript"/>
        <sz val="14"/>
        <color rgb="FF000000"/>
        <rFont val="TH SarabunPSK"/>
        <family val="2"/>
      </rPr>
      <t>l</t>
    </r>
    <r>
      <rPr>
        <sz val="14"/>
        <color rgb="FF000000"/>
        <rFont val="TH SarabunPSK"/>
        <family val="2"/>
      </rPr>
      <t xml:space="preserve"> = µ</t>
    </r>
    <r>
      <rPr>
        <sz val="14"/>
        <color rgb="FF000000"/>
        <rFont val="Wingdings 2"/>
        <family val="1"/>
        <charset val="2"/>
      </rPr>
      <t></t>
    </r>
    <r>
      <rPr>
        <sz val="14"/>
        <color rgb="FF000000"/>
        <rFont val="Symbol"/>
        <family val="1"/>
        <charset val="2"/>
      </rPr>
      <t>s</t>
    </r>
  </si>
  <si>
    <r>
      <t>F</t>
    </r>
    <r>
      <rPr>
        <vertAlign val="subscript"/>
        <sz val="14"/>
        <color rgb="FF000000"/>
        <rFont val="TH SarabunPSK"/>
        <family val="2"/>
      </rPr>
      <t>med</t>
    </r>
    <r>
      <rPr>
        <sz val="14"/>
        <color rgb="FF000000"/>
        <rFont val="TH SarabunPSK"/>
        <family val="2"/>
      </rPr>
      <t xml:space="preserve"> = </t>
    </r>
    <r>
      <rPr>
        <sz val="14"/>
        <color rgb="FF000000"/>
        <rFont val="Symbol"/>
        <family val="1"/>
        <charset val="2"/>
      </rPr>
      <t>F</t>
    </r>
    <r>
      <rPr>
        <sz val="14"/>
        <color rgb="FF000000"/>
        <rFont val="TH SarabunPSK"/>
        <family val="2"/>
      </rPr>
      <t>min + P</t>
    </r>
    <r>
      <rPr>
        <vertAlign val="subscript"/>
        <sz val="14"/>
        <color rgb="FF000000"/>
        <rFont val="TH SarabunPSK"/>
        <family val="2"/>
      </rPr>
      <t>mmn</t>
    </r>
    <r>
      <rPr>
        <sz val="14"/>
        <color rgb="FF000000"/>
        <rFont val="TH SarabunPSK"/>
        <family val="2"/>
      </rPr>
      <t xml:space="preserve"> + C</t>
    </r>
    <r>
      <rPr>
        <vertAlign val="subscript"/>
        <sz val="14"/>
        <color rgb="FF000000"/>
        <rFont val="TH SarabunPSK"/>
        <family val="2"/>
      </rPr>
      <t>l</t>
    </r>
    <r>
      <rPr>
        <sz val="14"/>
        <color rgb="FF000000"/>
        <rFont val="TH SarabunPSK"/>
        <family val="2"/>
      </rPr>
      <t xml:space="preserve"> + L</t>
    </r>
    <r>
      <rPr>
        <vertAlign val="subscript"/>
        <sz val="14"/>
        <color rgb="FF000000"/>
        <rFont val="TH SarabunPSK"/>
        <family val="2"/>
      </rPr>
      <t>h</t>
    </r>
    <r>
      <rPr>
        <sz val="14"/>
        <color rgb="FF000000"/>
        <rFont val="TH SarabunPSK"/>
        <family val="2"/>
      </rPr>
      <t xml:space="preserve"> + L</t>
    </r>
    <r>
      <rPr>
        <vertAlign val="subscript"/>
        <sz val="14"/>
        <color rgb="FF000000"/>
        <rFont val="TH SarabunPSK"/>
        <family val="2"/>
      </rPr>
      <t>b</t>
    </r>
  </si>
  <si>
    <r>
      <t>G</t>
    </r>
    <r>
      <rPr>
        <vertAlign val="subscript"/>
        <sz val="14"/>
        <color theme="1"/>
        <rFont val="TH SarabunPSK"/>
        <family val="2"/>
      </rPr>
      <t>iso</t>
    </r>
    <r>
      <rPr>
        <sz val="14"/>
        <color theme="1"/>
        <rFont val="TH SarabunPSK"/>
        <family val="2"/>
      </rPr>
      <t xml:space="preserve"> คือ อัตราขยายสายอากาศเทียบกับสายอากาศแบบไอโซโทรปิค (Isotropic Antenna)</t>
    </r>
  </si>
  <si>
    <r>
      <t>k คือ ค่าคงที่ของโบลต์ซมันน์ (Boltzman’s Constant) มีค่าเท่ากับ 1.38x10</t>
    </r>
    <r>
      <rPr>
        <vertAlign val="superscript"/>
        <sz val="14"/>
        <color theme="1"/>
        <rFont val="TH SarabunPSK"/>
        <family val="2"/>
      </rPr>
      <t>-23</t>
    </r>
    <r>
      <rPr>
        <sz val="14"/>
        <color theme="1"/>
        <rFont val="TH SarabunPSK"/>
        <family val="2"/>
      </rPr>
      <t xml:space="preserve"> J/K</t>
    </r>
  </si>
  <si>
    <r>
      <t>T</t>
    </r>
    <r>
      <rPr>
        <vertAlign val="subscript"/>
        <sz val="14"/>
        <color theme="1"/>
        <rFont val="TH SarabunPSK"/>
        <family val="2"/>
      </rPr>
      <t xml:space="preserve">0 </t>
    </r>
    <r>
      <rPr>
        <sz val="14"/>
        <color theme="1"/>
        <rFont val="TH SarabunPSK"/>
        <family val="2"/>
      </rPr>
      <t>คือ อุณหภูมิสัมบูรณ์ (Absolute Temperature) มีค่าเท่ากับ 290 K</t>
    </r>
  </si>
  <si>
    <r>
      <t>Z</t>
    </r>
    <r>
      <rPr>
        <vertAlign val="subscript"/>
        <sz val="14"/>
        <color theme="1"/>
        <rFont val="TH SarabunPSK"/>
        <family val="2"/>
      </rPr>
      <t>i</t>
    </r>
    <r>
      <rPr>
        <sz val="14"/>
        <color theme="1"/>
        <rFont val="TH SarabunPSK"/>
        <family val="2"/>
      </rPr>
      <t xml:space="preserve"> คือ อินพุตอิมพีแดนซ์ของเครื่องรับ (Receiver Input Impedance) มีค่าเท่ากับ 75 โอห์ม</t>
    </r>
  </si>
  <si>
    <t>โดยที่ :</t>
  </si>
  <si>
    <t>การคำนวณ</t>
  </si>
  <si>
    <t>ค่าจากการคำนวณตามวิธีในข้อ ๔ ของภาคผนวกตามแผนความถี่วิทยุฯ</t>
  </si>
  <si>
    <t>ระบุค่าเมื่อต้องการหาความแรงสนามไฟฟ้าสมมูลต่ำสุดที่ต้องการ ณ จุดรับสัญญาณที่ 1.5 เมตรจากพื้นดิน</t>
  </si>
  <si>
    <t>ลำดับ</t>
  </si>
  <si>
    <r>
      <t>f</t>
    </r>
    <r>
      <rPr>
        <vertAlign val="subscript"/>
        <sz val="14"/>
        <color rgb="FF000000"/>
        <rFont val="TH SarabunPSK"/>
        <family val="2"/>
      </rPr>
      <t>1</t>
    </r>
  </si>
  <si>
    <r>
      <t>E</t>
    </r>
    <r>
      <rPr>
        <vertAlign val="subscript"/>
        <sz val="14"/>
        <color rgb="FF000000"/>
        <rFont val="TH SarabunPSK"/>
        <family val="2"/>
      </rPr>
      <t>med</t>
    </r>
    <r>
      <rPr>
        <sz val="14"/>
        <color rgb="FF000000"/>
        <rFont val="TH SarabunPSK"/>
        <family val="2"/>
      </rPr>
      <t xml:space="preserve"> = </t>
    </r>
    <r>
      <rPr>
        <sz val="14"/>
        <color rgb="FF000000"/>
        <rFont val="Symbol"/>
        <family val="1"/>
        <charset val="2"/>
      </rPr>
      <t>F</t>
    </r>
    <r>
      <rPr>
        <sz val="14"/>
        <color rgb="FF000000"/>
        <rFont val="TH SarabunPSK"/>
        <family val="2"/>
      </rPr>
      <t>med  + 120 + 10 log (120</t>
    </r>
    <r>
      <rPr>
        <sz val="14"/>
        <color rgb="FF000000"/>
        <rFont val="Symbol"/>
        <family val="1"/>
        <charset val="2"/>
      </rPr>
      <t>p</t>
    </r>
    <r>
      <rPr>
        <sz val="14"/>
        <color rgb="FF000000"/>
        <rFont val="TH SarabunPSK"/>
        <family val="2"/>
      </rPr>
      <t xml:space="preserve">) =  </t>
    </r>
    <r>
      <rPr>
        <sz val="14"/>
        <color rgb="FF000000"/>
        <rFont val="Symbol"/>
        <family val="1"/>
        <charset val="2"/>
      </rPr>
      <t>F</t>
    </r>
    <r>
      <rPr>
        <sz val="14"/>
        <color rgb="FF000000"/>
        <rFont val="TH SarabunPSK"/>
        <family val="2"/>
      </rPr>
      <t>med + 145.8
ทั้งนี้ ค่าดังกล่าวเป็นค่าความแรงสนามไฟฟ้าฯ ที่ความถี่วิทยุ 650 MHz</t>
    </r>
  </si>
  <si>
    <r>
      <t>ค่าค่าความแรงสนามไฟฟ้าฯ ตามข้อ 23 โดยคำนวณ ณ ความถี่วิทยุ f</t>
    </r>
    <r>
      <rPr>
        <b/>
        <vertAlign val="subscript"/>
        <sz val="14"/>
        <color rgb="FF000000"/>
        <rFont val="TH SarabunPSK"/>
        <family val="2"/>
      </rPr>
      <t>1</t>
    </r>
  </si>
  <si>
    <r>
      <t>Fs</t>
    </r>
    <r>
      <rPr>
        <vertAlign val="subscript"/>
        <sz val="14"/>
        <color rgb="FF000000"/>
        <rFont val="TH SarabunPSK"/>
        <family val="2"/>
      </rPr>
      <t>1</t>
    </r>
  </si>
  <si>
    <r>
      <t>กรณี fixed reception : Fs</t>
    </r>
    <r>
      <rPr>
        <vertAlign val="subscript"/>
        <sz val="14"/>
        <color rgb="FF000000"/>
        <rFont val="TH SarabunPSK"/>
        <family val="2"/>
      </rPr>
      <t>1</t>
    </r>
    <r>
      <rPr>
        <sz val="14"/>
        <color rgb="FF000000"/>
        <rFont val="TH SarabunPSK"/>
        <family val="2"/>
      </rPr>
      <t xml:space="preserve"> = Fs + 20log (f</t>
    </r>
    <r>
      <rPr>
        <vertAlign val="subscript"/>
        <sz val="14"/>
        <color rgb="FF000000"/>
        <rFont val="TH SarabunPSK"/>
        <family val="2"/>
      </rPr>
      <t>1</t>
    </r>
    <r>
      <rPr>
        <sz val="14"/>
        <color rgb="FF000000"/>
        <rFont val="TH SarabunPSK"/>
        <family val="2"/>
      </rPr>
      <t>/f) 
กรณี portable reception : Fs1 = Fs + 30log (f1/f) 
โดยที่ Fs = Emed</t>
    </r>
  </si>
  <si>
    <t>Center Frequency (MHz)</t>
  </si>
  <si>
    <t>ความถี่วิทยุที่ใช้งานจริง</t>
  </si>
  <si>
    <r>
      <t xml:space="preserve">การคำนวณค่าความแรงสนามไฟฟ้าสมมูลต่ำสุดที่ต้องการของการรับสัญญาณลักษณะต่างๆ ตามประกาศ กสทช. เรื่อง แผนความถิ่วิทยุสำหรับกิจการโทรทัศน์ภาคพื้นดินในระบบดิจิตอล โดยอ้างอิงจากเอกสาร EBU Tech 3348
</t>
    </r>
    <r>
      <rPr>
        <u/>
        <sz val="14"/>
        <color theme="0"/>
        <rFont val="TH SarabunPSK"/>
        <family val="2"/>
      </rPr>
      <t>การใช้งาน:</t>
    </r>
    <r>
      <rPr>
        <sz val="14"/>
        <color theme="0"/>
        <rFont val="TH SarabunPSK"/>
        <family val="2"/>
      </rPr>
      <t xml:space="preserve"> กรอกค่าพารามิเตอร์ของระบบในช่องสีเหลืองเท่านั้น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</si>
</sst>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27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0"/>
      <color rgb="FF333333"/>
      <name val="Verdana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u/>
      <sz val="11"/>
      <color theme="10"/>
      <name val="Tahoma"/>
      <family val="2"/>
      <scheme val="minor"/>
    </font>
    <font>
      <u/>
      <sz val="11"/>
      <color theme="11"/>
      <name val="Tahoma"/>
      <family val="2"/>
      <scheme val="minor"/>
    </font>
    <font>
      <sz val="11"/>
      <color theme="1"/>
      <name val="Calibri"/>
      <family val="2"/>
    </font>
    <font>
      <sz val="14"/>
      <color rgb="FF000000"/>
      <name val="TH SarabunPSK"/>
      <family val="2"/>
    </font>
    <font>
      <vertAlign val="subscript"/>
      <sz val="14"/>
      <color rgb="FF000000"/>
      <name val="TH SarabunPSK"/>
      <family val="2"/>
    </font>
    <font>
      <sz val="14"/>
      <color rgb="FF000000"/>
      <name val="Symbol"/>
      <family val="1"/>
      <charset val="2"/>
    </font>
    <font>
      <b/>
      <sz val="14"/>
      <color theme="1"/>
      <name val="TH SarabunPSK"/>
      <family val="2"/>
    </font>
    <font>
      <vertAlign val="superscript"/>
      <sz val="14"/>
      <color rgb="FF000000"/>
      <name val="TH SarabunPSK"/>
      <family val="2"/>
    </font>
    <font>
      <sz val="14"/>
      <color rgb="FF000000"/>
      <name val="Wingdings 2"/>
      <family val="1"/>
      <charset val="2"/>
    </font>
    <font>
      <b/>
      <sz val="14"/>
      <color rgb="FF000000"/>
      <name val="TH SarabunPSK"/>
      <family val="2"/>
    </font>
    <font>
      <b/>
      <sz val="14"/>
      <color theme="0"/>
      <name val="TH SarabunPSK"/>
      <family val="2"/>
    </font>
    <font>
      <sz val="16"/>
      <color theme="1"/>
      <name val="TH SarabunPSK"/>
      <family val="2"/>
    </font>
    <font>
      <b/>
      <sz val="22"/>
      <color theme="0"/>
      <name val="TH SarabunPSK"/>
      <family val="2"/>
    </font>
    <font>
      <sz val="11"/>
      <color theme="0"/>
      <name val="Tahoma"/>
      <family val="2"/>
      <scheme val="minor"/>
    </font>
    <font>
      <sz val="14"/>
      <color theme="0"/>
      <name val="TH SarabunPSK"/>
      <family val="2"/>
    </font>
    <font>
      <vertAlign val="subscript"/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vertAlign val="subscript"/>
      <sz val="14"/>
      <color rgb="FF000000"/>
      <name val="TH SarabunPSK"/>
      <family val="2"/>
    </font>
    <font>
      <u/>
      <sz val="14"/>
      <color theme="0"/>
      <name val="TH SarabunPSK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6" fillId="0" borderId="0"/>
  </cellStyleXfs>
  <cellXfs count="116">
    <xf numFmtId="0" fontId="0" fillId="0" borderId="0" xfId="0"/>
    <xf numFmtId="49" fontId="0" fillId="0" borderId="0" xfId="0" applyNumberFormat="1"/>
    <xf numFmtId="0" fontId="0" fillId="2" borderId="0" xfId="0" applyFill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3" borderId="0" xfId="0" applyFill="1" applyAlignment="1">
      <alignment wrapText="1"/>
    </xf>
    <xf numFmtId="2" fontId="0" fillId="0" borderId="0" xfId="0" applyNumberFormat="1"/>
    <xf numFmtId="0" fontId="2" fillId="0" borderId="0" xfId="0" applyFont="1"/>
    <xf numFmtId="2" fontId="0" fillId="3" borderId="0" xfId="0" applyNumberFormat="1" applyFill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4" borderId="1" xfId="0" applyFill="1" applyBorder="1"/>
    <xf numFmtId="2" fontId="0" fillId="0" borderId="1" xfId="0" applyNumberFormat="1" applyBorder="1"/>
    <xf numFmtId="0" fontId="0" fillId="0" borderId="0" xfId="0" applyAlignment="1">
      <alignment horizontal="center"/>
    </xf>
    <xf numFmtId="11" fontId="0" fillId="0" borderId="0" xfId="0" applyNumberFormat="1"/>
    <xf numFmtId="0" fontId="0" fillId="7" borderId="0" xfId="0" applyFill="1"/>
    <xf numFmtId="43" fontId="0" fillId="0" borderId="0" xfId="0" applyNumberFormat="1"/>
    <xf numFmtId="0" fontId="0" fillId="0" borderId="0" xfId="0" applyAlignment="1"/>
    <xf numFmtId="43" fontId="3" fillId="0" borderId="0" xfId="0" applyNumberFormat="1" applyFont="1" applyFill="1"/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Fill="1" applyAlignment="1">
      <alignment wrapText="1"/>
    </xf>
    <xf numFmtId="2" fontId="0" fillId="0" borderId="0" xfId="0" applyNumberFormat="1" applyFill="1"/>
    <xf numFmtId="0" fontId="3" fillId="11" borderId="1" xfId="0" applyFont="1" applyFill="1" applyBorder="1" applyAlignment="1" applyProtection="1">
      <alignment horizontal="center"/>
    </xf>
    <xf numFmtId="0" fontId="0" fillId="6" borderId="0" xfId="0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18" fillId="0" borderId="0" xfId="0" applyFont="1"/>
    <xf numFmtId="0" fontId="20" fillId="6" borderId="0" xfId="0" applyFont="1" applyFill="1"/>
    <xf numFmtId="0" fontId="0" fillId="6" borderId="0" xfId="0" applyFill="1"/>
    <xf numFmtId="0" fontId="0" fillId="6" borderId="0" xfId="0" applyFill="1" applyBorder="1" applyAlignment="1"/>
    <xf numFmtId="0" fontId="3" fillId="6" borderId="1" xfId="0" applyFont="1" applyFill="1" applyBorder="1" applyAlignment="1">
      <alignment horizontal="left"/>
    </xf>
    <xf numFmtId="43" fontId="3" fillId="6" borderId="1" xfId="2" applyNumberFormat="1" applyFont="1" applyFill="1" applyBorder="1" applyAlignment="1">
      <alignment horizontal="left" wrapText="1"/>
    </xf>
    <xf numFmtId="0" fontId="10" fillId="6" borderId="1" xfId="0" applyFont="1" applyFill="1" applyBorder="1" applyAlignment="1">
      <alignment horizontal="left"/>
    </xf>
    <xf numFmtId="0" fontId="10" fillId="6" borderId="1" xfId="0" applyFont="1" applyFill="1" applyBorder="1" applyAlignment="1">
      <alignment horizontal="left" wrapText="1"/>
    </xf>
    <xf numFmtId="0" fontId="12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 wrapText="1"/>
    </xf>
    <xf numFmtId="0" fontId="0" fillId="5" borderId="0" xfId="0" applyFill="1" applyProtection="1"/>
    <xf numFmtId="12" fontId="0" fillId="5" borderId="0" xfId="0" applyNumberFormat="1" applyFill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0" fillId="5" borderId="0" xfId="0" applyFill="1" applyBorder="1" applyAlignment="1" applyProtection="1">
      <alignment horizontal="left"/>
    </xf>
    <xf numFmtId="0" fontId="3" fillId="8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0" fontId="4" fillId="0" borderId="1" xfId="0" quotePrefix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9" fillId="11" borderId="1" xfId="0" applyFont="1" applyFill="1" applyBorder="1" applyAlignment="1">
      <alignment vertical="center"/>
    </xf>
    <xf numFmtId="0" fontId="3" fillId="11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1" xfId="0" quotePrefix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3" fillId="0" borderId="1" xfId="0" quotePrefix="1" applyNumberFormat="1" applyFont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quotePrefix="1" applyFont="1" applyBorder="1" applyAlignment="1" applyProtection="1">
      <alignment horizontal="center" vertical="center"/>
    </xf>
    <xf numFmtId="2" fontId="3" fillId="6" borderId="1" xfId="0" quotePrefix="1" applyNumberFormat="1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3" fillId="11" borderId="5" xfId="0" applyFont="1" applyFill="1" applyBorder="1" applyAlignment="1" applyProtection="1">
      <alignment vertical="center"/>
    </xf>
    <xf numFmtId="0" fontId="10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5" borderId="0" xfId="0" applyFill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3" fillId="11" borderId="5" xfId="0" applyFont="1" applyFill="1" applyBorder="1" applyAlignment="1" applyProtection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vertical="center" wrapText="1"/>
    </xf>
    <xf numFmtId="0" fontId="10" fillId="15" borderId="5" xfId="0" applyFont="1" applyFill="1" applyBorder="1" applyAlignment="1">
      <alignment horizontal="center" vertical="center" wrapText="1"/>
    </xf>
    <xf numFmtId="0" fontId="10" fillId="15" borderId="5" xfId="0" applyFont="1" applyFill="1" applyBorder="1" applyAlignment="1">
      <alignment vertical="center" wrapText="1"/>
    </xf>
    <xf numFmtId="0" fontId="10" fillId="15" borderId="1" xfId="0" applyFont="1" applyFill="1" applyBorder="1" applyAlignment="1">
      <alignment horizontal="center" vertical="center"/>
    </xf>
    <xf numFmtId="2" fontId="3" fillId="15" borderId="1" xfId="0" applyNumberFormat="1" applyFont="1" applyFill="1" applyBorder="1" applyAlignment="1" applyProtection="1">
      <alignment horizontal="center" vertical="center"/>
    </xf>
    <xf numFmtId="0" fontId="16" fillId="15" borderId="5" xfId="0" applyFont="1" applyFill="1" applyBorder="1" applyAlignment="1">
      <alignment vertical="center" wrapText="1"/>
    </xf>
    <xf numFmtId="2" fontId="3" fillId="15" borderId="1" xfId="0" quotePrefix="1" applyNumberFormat="1" applyFont="1" applyFill="1" applyBorder="1" applyAlignment="1" applyProtection="1">
      <alignment horizontal="center" vertical="center"/>
    </xf>
    <xf numFmtId="0" fontId="10" fillId="15" borderId="1" xfId="0" applyFont="1" applyFill="1" applyBorder="1" applyAlignment="1">
      <alignment horizontal="left" vertical="center" wrapText="1"/>
    </xf>
    <xf numFmtId="2" fontId="10" fillId="15" borderId="1" xfId="0" applyNumberFormat="1" applyFont="1" applyFill="1" applyBorder="1" applyAlignment="1">
      <alignment horizontal="center" vertical="center"/>
    </xf>
    <xf numFmtId="2" fontId="4" fillId="6" borderId="1" xfId="0" quotePrefix="1" applyNumberFormat="1" applyFont="1" applyFill="1" applyBorder="1" applyAlignment="1" applyProtection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Border="1" applyAlignment="1">
      <alignment horizontal="left"/>
    </xf>
    <xf numFmtId="0" fontId="23" fillId="4" borderId="0" xfId="0" applyFont="1" applyFill="1"/>
    <xf numFmtId="0" fontId="3" fillId="4" borderId="0" xfId="0" applyFont="1" applyFill="1"/>
    <xf numFmtId="2" fontId="0" fillId="4" borderId="0" xfId="0" applyNumberFormat="1" applyFill="1" applyAlignment="1">
      <alignment horizontal="center"/>
    </xf>
    <xf numFmtId="0" fontId="3" fillId="4" borderId="0" xfId="0" applyFont="1" applyFill="1" applyBorder="1"/>
    <xf numFmtId="49" fontId="0" fillId="4" borderId="0" xfId="0" applyNumberFormat="1" applyFill="1"/>
    <xf numFmtId="2" fontId="0" fillId="4" borderId="0" xfId="0" applyNumberFormat="1" applyFill="1"/>
    <xf numFmtId="0" fontId="2" fillId="4" borderId="0" xfId="0" applyFont="1" applyFill="1" applyBorder="1" applyAlignment="1">
      <alignment horizontal="left"/>
    </xf>
    <xf numFmtId="0" fontId="0" fillId="6" borderId="0" xfId="0" applyFill="1" applyAlignment="1">
      <alignment horizontal="center"/>
    </xf>
    <xf numFmtId="49" fontId="0" fillId="6" borderId="0" xfId="0" applyNumberFormat="1" applyFill="1"/>
    <xf numFmtId="2" fontId="0" fillId="6" borderId="0" xfId="0" applyNumberFormat="1" applyFill="1"/>
    <xf numFmtId="0" fontId="10" fillId="6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left" vertical="center"/>
    </xf>
    <xf numFmtId="0" fontId="3" fillId="15" borderId="1" xfId="0" applyFont="1" applyFill="1" applyBorder="1" applyAlignment="1">
      <alignment horizontal="left" vertical="center"/>
    </xf>
    <xf numFmtId="0" fontId="17" fillId="12" borderId="5" xfId="0" applyFont="1" applyFill="1" applyBorder="1" applyAlignment="1" applyProtection="1">
      <alignment horizontal="right" vertical="center"/>
    </xf>
    <xf numFmtId="0" fontId="17" fillId="12" borderId="0" xfId="0" applyFont="1" applyFill="1" applyBorder="1" applyAlignment="1" applyProtection="1">
      <alignment horizontal="right" vertical="center"/>
    </xf>
    <xf numFmtId="0" fontId="16" fillId="15" borderId="6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/>
    </xf>
    <xf numFmtId="0" fontId="16" fillId="13" borderId="1" xfId="0" applyFont="1" applyFill="1" applyBorder="1" applyAlignment="1">
      <alignment horizontal="center" vertical="center"/>
    </xf>
    <xf numFmtId="0" fontId="16" fillId="10" borderId="4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13" fillId="5" borderId="0" xfId="0" applyFont="1" applyFill="1" applyBorder="1" applyAlignment="1" applyProtection="1">
      <alignment horizontal="right" wrapText="1"/>
    </xf>
    <xf numFmtId="0" fontId="19" fillId="14" borderId="0" xfId="0" applyFont="1" applyFill="1" applyBorder="1" applyAlignment="1" applyProtection="1">
      <alignment horizontal="center" vertical="center"/>
    </xf>
    <xf numFmtId="0" fontId="21" fillId="12" borderId="3" xfId="0" applyFont="1" applyFill="1" applyBorder="1" applyAlignment="1" applyProtection="1">
      <alignment horizontal="left" vertical="center" wrapText="1"/>
    </xf>
    <xf numFmtId="0" fontId="21" fillId="12" borderId="0" xfId="0" applyFont="1" applyFill="1" applyBorder="1" applyAlignment="1" applyProtection="1">
      <alignment horizontal="left" vertical="center" wrapText="1"/>
    </xf>
    <xf numFmtId="0" fontId="16" fillId="9" borderId="1" xfId="0" applyFont="1" applyFill="1" applyBorder="1" applyAlignment="1">
      <alignment horizontal="center" vertical="center"/>
    </xf>
  </cellXfs>
  <cellStyles count="10">
    <cellStyle name="Comma 2" xfId="1"/>
    <cellStyle name="Comma 3" xfId="2"/>
    <cellStyle name="Followed Hyperlink" xfId="4" builtinId="9" hidden="1"/>
    <cellStyle name="Followed Hyperlink" xfId="6" builtinId="9" hidden="1"/>
    <cellStyle name="Followed Hyperlink" xfId="8" builtinId="9" hidden="1"/>
    <cellStyle name="Hyperlink" xfId="3" builtinId="8" hidden="1"/>
    <cellStyle name="Hyperlink" xfId="5" builtinId="8" hidden="1"/>
    <cellStyle name="Hyperlink" xfId="7" builtinId="8" hidden="1"/>
    <cellStyle name="Normal" xfId="0" builtinId="0"/>
    <cellStyle name="Norm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2876551</xdr:colOff>
      <xdr:row>0</xdr:row>
      <xdr:rowOff>13648</xdr:rowOff>
    </xdr:from>
    <xdr:to>
      <xdr:col>7</xdr:col>
      <xdr:colOff>3476625</xdr:colOff>
      <xdr:row>0</xdr:row>
      <xdr:rowOff>796207</xdr:rowOff>
    </xdr:to>
    <xdr:pic>
      <xdr:nvPicPr>
        <xdr:cNvPr id="2" name="Picture 1" descr="C:\Users\BOTAkoong\Desktop\NTC_log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p="http://schemas.openxmlformats.org/presentationml/2006/main" xmlns="" xmlns:a14="http://schemas.microsoft.com/office/drawing/2010/main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1582401" y="13648"/>
          <a:ext cx="600074" cy="782559"/>
        </a:xfrm>
        <a:prstGeom prst="rect">
          <a:avLst/>
        </a:prstGeom>
        <a:noFill/>
        <a:extLst>
          <a:ext uri="{909E8E84-426E-40dd-AFC4-6F175D3DCCD1}">
            <a14:hiddenFill xmlns:r="http://schemas.openxmlformats.org/officeDocument/2006/relationships" xmlns:p="http://schemas.openxmlformats.org/presentationml/2006/main" xmlns="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5"/>
  <sheetViews>
    <sheetView zoomScale="80" zoomScaleNormal="80" zoomScalePageLayoutView="80" workbookViewId="0">
      <selection activeCell="L32" sqref="L32"/>
    </sheetView>
  </sheetViews>
  <sheetFormatPr defaultColWidth="8.875" defaultRowHeight="14.25"/>
  <cols>
    <col min="2" max="2" width="27" customWidth="1"/>
    <col min="13" max="30" width="4.625" customWidth="1"/>
  </cols>
  <sheetData>
    <row r="1" spans="2:30">
      <c r="C1" s="107" t="s">
        <v>28</v>
      </c>
      <c r="D1" s="107"/>
      <c r="E1" s="107"/>
      <c r="F1" s="107"/>
      <c r="G1" s="107"/>
      <c r="H1" s="107"/>
      <c r="I1" s="107"/>
      <c r="J1" s="107"/>
    </row>
    <row r="2" spans="2:30">
      <c r="B2" s="9" t="s">
        <v>29</v>
      </c>
      <c r="C2" s="10" t="s">
        <v>30</v>
      </c>
      <c r="D2" s="10" t="s">
        <v>31</v>
      </c>
      <c r="E2" s="10" t="s">
        <v>32</v>
      </c>
      <c r="F2" s="10" t="s">
        <v>33</v>
      </c>
      <c r="G2" s="10" t="s">
        <v>34</v>
      </c>
      <c r="H2" s="10" t="s">
        <v>35</v>
      </c>
      <c r="I2" s="10" t="s">
        <v>36</v>
      </c>
      <c r="J2" s="10" t="s">
        <v>37</v>
      </c>
      <c r="L2" s="11" t="s">
        <v>38</v>
      </c>
      <c r="M2" s="12">
        <v>15</v>
      </c>
      <c r="N2" s="12">
        <f>M2+1</f>
        <v>16</v>
      </c>
      <c r="O2" s="12">
        <f t="shared" ref="O2:AD2" si="0">N2+1</f>
        <v>17</v>
      </c>
      <c r="P2" s="12">
        <f t="shared" si="0"/>
        <v>18</v>
      </c>
      <c r="Q2" s="12">
        <f t="shared" si="0"/>
        <v>19</v>
      </c>
      <c r="R2" s="12">
        <f t="shared" si="0"/>
        <v>20</v>
      </c>
      <c r="S2" s="12">
        <f t="shared" si="0"/>
        <v>21</v>
      </c>
      <c r="T2" s="12">
        <f t="shared" si="0"/>
        <v>22</v>
      </c>
      <c r="U2" s="12">
        <f t="shared" si="0"/>
        <v>23</v>
      </c>
      <c r="V2" s="12">
        <f t="shared" si="0"/>
        <v>24</v>
      </c>
      <c r="W2" s="12">
        <f t="shared" si="0"/>
        <v>25</v>
      </c>
      <c r="X2" s="12">
        <f t="shared" si="0"/>
        <v>26</v>
      </c>
      <c r="Y2" s="12">
        <f t="shared" si="0"/>
        <v>27</v>
      </c>
      <c r="Z2" s="12">
        <f t="shared" si="0"/>
        <v>28</v>
      </c>
      <c r="AA2" s="12">
        <f t="shared" si="0"/>
        <v>29</v>
      </c>
      <c r="AB2" s="12">
        <f t="shared" si="0"/>
        <v>30</v>
      </c>
      <c r="AC2" s="12">
        <f t="shared" si="0"/>
        <v>31</v>
      </c>
      <c r="AD2" s="12">
        <f t="shared" si="0"/>
        <v>32</v>
      </c>
    </row>
    <row r="3" spans="2:30">
      <c r="B3" s="12" t="s">
        <v>39</v>
      </c>
      <c r="C3" s="13">
        <v>0.1</v>
      </c>
      <c r="D3" s="13">
        <v>0.1</v>
      </c>
      <c r="E3" s="13">
        <v>0.1</v>
      </c>
      <c r="F3" s="13">
        <v>0.1</v>
      </c>
      <c r="G3" s="13">
        <v>0.1</v>
      </c>
      <c r="H3" s="13">
        <v>0.1</v>
      </c>
      <c r="I3" s="13">
        <v>0.1</v>
      </c>
      <c r="J3" s="13">
        <v>0.1</v>
      </c>
      <c r="L3" s="14" t="s">
        <v>40</v>
      </c>
      <c r="M3" s="15">
        <v>7.0000000000000007E-2</v>
      </c>
      <c r="N3" s="15">
        <v>0.09</v>
      </c>
      <c r="O3" s="15">
        <v>0.11</v>
      </c>
      <c r="P3" s="15">
        <v>0.14000000000000001</v>
      </c>
      <c r="Q3" s="15">
        <v>0.18</v>
      </c>
      <c r="R3" s="15">
        <v>0.22</v>
      </c>
      <c r="S3" s="15">
        <v>0.28000000000000003</v>
      </c>
      <c r="T3" s="15">
        <v>0.36</v>
      </c>
      <c r="U3" s="15">
        <v>0.46</v>
      </c>
      <c r="V3" s="15">
        <v>0.57999999999999996</v>
      </c>
      <c r="W3" s="15">
        <v>0.75</v>
      </c>
      <c r="X3" s="15">
        <v>0.97</v>
      </c>
      <c r="Y3" s="15">
        <v>1.26</v>
      </c>
      <c r="Z3" s="15">
        <v>1.65</v>
      </c>
      <c r="AA3" s="15">
        <v>2.2000000000000002</v>
      </c>
      <c r="AB3" s="15">
        <v>3.02</v>
      </c>
      <c r="AC3" s="15">
        <v>4.33</v>
      </c>
      <c r="AD3" s="15">
        <v>6.87</v>
      </c>
    </row>
    <row r="4" spans="2:30">
      <c r="B4" s="12" t="s">
        <v>41</v>
      </c>
      <c r="C4" s="13">
        <v>0.4</v>
      </c>
      <c r="D4" s="13">
        <v>0.4</v>
      </c>
      <c r="E4" s="13">
        <v>0.5</v>
      </c>
      <c r="F4" s="13">
        <v>0.5</v>
      </c>
      <c r="G4" s="13">
        <v>0.5</v>
      </c>
      <c r="H4" s="13">
        <v>0.5</v>
      </c>
      <c r="I4" s="13">
        <v>0.3</v>
      </c>
      <c r="J4" s="13">
        <v>0.4</v>
      </c>
    </row>
    <row r="5" spans="2:30">
      <c r="B5" s="12" t="s">
        <v>42</v>
      </c>
      <c r="C5" s="13">
        <v>2</v>
      </c>
      <c r="D5" s="13">
        <v>2</v>
      </c>
      <c r="E5" s="13">
        <v>1.5</v>
      </c>
      <c r="F5" s="13">
        <v>1.5</v>
      </c>
      <c r="G5" s="13">
        <v>1</v>
      </c>
      <c r="H5" s="13">
        <v>1</v>
      </c>
      <c r="I5" s="13">
        <v>1</v>
      </c>
      <c r="J5" s="13">
        <v>1</v>
      </c>
    </row>
  </sheetData>
  <mergeCells count="1">
    <mergeCell ref="C1:J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zoomScale="90" zoomScaleNormal="90" zoomScalePageLayoutView="90" workbookViewId="0">
      <selection activeCell="R15" sqref="R15"/>
    </sheetView>
  </sheetViews>
  <sheetFormatPr defaultColWidth="8.875" defaultRowHeight="14.25"/>
  <cols>
    <col min="1" max="1" width="8.875" customWidth="1"/>
    <col min="3" max="3" width="11.125" customWidth="1"/>
    <col min="4" max="4" width="8.875" style="1"/>
    <col min="5" max="5" width="14.5" customWidth="1"/>
    <col min="6" max="8" width="4.375" customWidth="1"/>
    <col min="9" max="10" width="7.5" customWidth="1"/>
    <col min="11" max="19" width="11.5" customWidth="1"/>
    <col min="22" max="22" width="9" customWidth="1"/>
  </cols>
  <sheetData>
    <row r="1" spans="1:19">
      <c r="A1" t="s">
        <v>0</v>
      </c>
    </row>
    <row r="2" spans="1:19">
      <c r="F2" t="s">
        <v>1</v>
      </c>
      <c r="I2" s="2">
        <f>VLOOKUP(Field_Strength_Calculation!C3,Field_Strength_Calculation!C3,1,0)</f>
        <v>7</v>
      </c>
    </row>
    <row r="6" spans="1:19" ht="57.75" customHeight="1">
      <c r="C6" s="3" t="s">
        <v>2</v>
      </c>
      <c r="D6" s="4"/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13</v>
      </c>
      <c r="P6" s="3" t="s">
        <v>14</v>
      </c>
      <c r="Q6" s="5" t="s">
        <v>15</v>
      </c>
      <c r="R6" s="5" t="s">
        <v>16</v>
      </c>
      <c r="S6" s="5" t="s">
        <v>17</v>
      </c>
    </row>
    <row r="7" spans="1:19">
      <c r="C7" t="s">
        <v>18</v>
      </c>
      <c r="D7" s="1" t="s">
        <v>19</v>
      </c>
      <c r="E7" s="6">
        <v>1</v>
      </c>
      <c r="F7">
        <v>0.1</v>
      </c>
      <c r="G7" s="7">
        <f>LOOKUP($I$2,{1,2,3,4,5,6,7,8},{0.4,0.4,0.5,0.5,0.5,0.5,0.3,0.4})</f>
        <v>0.3</v>
      </c>
      <c r="H7" s="7">
        <f>LOOKUP($I$2,{1,2,3,4,5,6,7,8},{2,2,1.5,1.5,1,1,1,1})</f>
        <v>1</v>
      </c>
      <c r="I7" s="6">
        <v>0.2</v>
      </c>
      <c r="J7" s="6">
        <v>1</v>
      </c>
      <c r="K7" s="6">
        <f>SUM(E7:H7)</f>
        <v>2.4000000000000004</v>
      </c>
      <c r="L7" s="6">
        <f>K7+I7</f>
        <v>2.6000000000000005</v>
      </c>
      <c r="M7" s="6">
        <f>K7+J7</f>
        <v>3.4000000000000004</v>
      </c>
      <c r="N7">
        <f>IF(ROUND(K7,0)&lt;15,0,LOOKUP(ROUND(K7,0),{15,16,17,18,19,20,21,22,23,24,25,26,27,28,29,30,31,32},{0.07,0.09,0.11,0.14,0.18,0.22,0.28,0.36,0.46,0.58,0.75,0.97,1.26,1.65,2.2,3.02,4.33,6.87}))</f>
        <v>0</v>
      </c>
      <c r="O7">
        <f>IF(ROUND(L7,0)&lt;15,0,LOOKUP(ROUND(L7,0),{15,16,17,18,19,20,21,22,23,24,25,26,27,28,29,30,31,32},{0.07,0.09,0.11,0.14,0.18,0.22,0.28,0.36,0.46,0.58,0.75,0.97,1.26,1.65,2.2,3.02,4.33,6.87}))</f>
        <v>0</v>
      </c>
      <c r="P7">
        <f>IF(ROUND(M7,0)&lt;15,0,LOOKUP(ROUND(M7,0),{15,16,17,18,19,20,21,22,23,24,25,26,27,28,29,30,31,32},{0.07,0.09,0.11,0.14,0.18,0.22,0.28,0.36,0.46,0.58,0.75,0.97,1.26,1.65,2.2,3.02,4.33,6.87}))</f>
        <v>0</v>
      </c>
      <c r="Q7" s="8">
        <f>K7+N7</f>
        <v>2.4000000000000004</v>
      </c>
      <c r="R7" s="8">
        <f t="shared" ref="R7:S30" si="0">L7+O7</f>
        <v>2.6000000000000005</v>
      </c>
      <c r="S7" s="8">
        <f>M7+P7</f>
        <v>3.4000000000000004</v>
      </c>
    </row>
    <row r="8" spans="1:19">
      <c r="C8" t="s">
        <v>18</v>
      </c>
      <c r="D8" s="1" t="s">
        <v>20</v>
      </c>
      <c r="E8" s="6">
        <v>2.2000000000000002</v>
      </c>
      <c r="F8">
        <v>0.1</v>
      </c>
      <c r="G8" s="7">
        <f>LOOKUP($I$2,{1,2,3,4,5,6,7,8},{0.4,0.4,0.5,0.5,0.5,0.5,0.3,0.4})</f>
        <v>0.3</v>
      </c>
      <c r="H8" s="7">
        <f>LOOKUP($I$2,{1,2,3,4,5,6,7,8},{2,2,1.5,1.5,1,1,1,1})</f>
        <v>1</v>
      </c>
      <c r="I8" s="6">
        <v>0.2</v>
      </c>
      <c r="J8" s="6">
        <v>1.3</v>
      </c>
      <c r="K8" s="6">
        <f t="shared" ref="K8:K30" si="1">SUM(E8:H8)</f>
        <v>3.6</v>
      </c>
      <c r="L8" s="6">
        <f t="shared" ref="L8:L30" si="2">K8+I8</f>
        <v>3.8000000000000003</v>
      </c>
      <c r="M8" s="6">
        <f t="shared" ref="M8:M30" si="3">K8+J8</f>
        <v>4.9000000000000004</v>
      </c>
      <c r="N8">
        <f>IF(ROUND(K8,0)&lt;15,0,LOOKUP(ROUND(K8,0),{15,16,17,18,19,20,21,22,23,24,25,26,27,28,29,30,31,32},{0.07,0.09,0.11,0.14,0.18,0.22,0.28,0.36,0.46,0.58,0.75,0.97,1.26,1.65,2.2,3.02,4.33,6.87}))</f>
        <v>0</v>
      </c>
      <c r="O8">
        <f>IF(ROUND(L8,0)&lt;15,0,LOOKUP(ROUND(L8,0),{15,16,17,18,19,20,21,22,23,24,25,26,27,28,29,30,31,32},{0.07,0.09,0.11,0.14,0.18,0.22,0.28,0.36,0.46,0.58,0.75,0.97,1.26,1.65,2.2,3.02,4.33,6.87}))</f>
        <v>0</v>
      </c>
      <c r="P8">
        <f>IF(ROUND(M8,0)&lt;15,0,LOOKUP(ROUND(M8,0),{15,16,17,18,19,20,21,22,23,24,25,26,27,28,29,30,31,32},{0.07,0.09,0.11,0.14,0.18,0.22,0.28,0.36,0.46,0.58,0.75,0.97,1.26,1.65,2.2,3.02,4.33,6.87}))</f>
        <v>0</v>
      </c>
      <c r="Q8" s="8">
        <f t="shared" ref="Q8:Q30" si="4">K8+N8</f>
        <v>3.6</v>
      </c>
      <c r="R8" s="8">
        <f t="shared" si="0"/>
        <v>3.8000000000000003</v>
      </c>
      <c r="S8" s="8">
        <f t="shared" si="0"/>
        <v>4.9000000000000004</v>
      </c>
    </row>
    <row r="9" spans="1:19">
      <c r="C9" t="s">
        <v>18</v>
      </c>
      <c r="D9" s="1" t="s">
        <v>21</v>
      </c>
      <c r="E9" s="6">
        <v>3.1</v>
      </c>
      <c r="F9">
        <v>0.1</v>
      </c>
      <c r="G9" s="7">
        <f>LOOKUP($I$2,{1,2,3,4,5,6,7,8},{0.4,0.4,0.5,0.5,0.5,0.5,0.3,0.4})</f>
        <v>0.3</v>
      </c>
      <c r="H9" s="7">
        <f>LOOKUP($I$2,{1,2,3,4,5,6,7,8},{2,2,1.5,1.5,1,1,1,1})</f>
        <v>1</v>
      </c>
      <c r="I9" s="6">
        <v>0.3</v>
      </c>
      <c r="J9" s="6">
        <v>1.8</v>
      </c>
      <c r="K9" s="6">
        <f t="shared" si="1"/>
        <v>4.5</v>
      </c>
      <c r="L9" s="6">
        <f t="shared" si="2"/>
        <v>4.8</v>
      </c>
      <c r="M9" s="6">
        <f t="shared" si="3"/>
        <v>6.3</v>
      </c>
      <c r="N9">
        <f>IF(ROUND(K9,0)&lt;15,0,LOOKUP(ROUND(K9,0),{15,16,17,18,19,20,21,22,23,24,25,26,27,28,29,30,31,32},{0.07,0.09,0.11,0.14,0.18,0.22,0.28,0.36,0.46,0.58,0.75,0.97,1.26,1.65,2.2,3.02,4.33,6.87}))</f>
        <v>0</v>
      </c>
      <c r="O9">
        <f>IF(ROUND(L9,0)&lt;15,0,LOOKUP(ROUND(L9,0),{15,16,17,18,19,20,21,22,23,24,25,26,27,28,29,30,31,32},{0.07,0.09,0.11,0.14,0.18,0.22,0.28,0.36,0.46,0.58,0.75,0.97,1.26,1.65,2.2,3.02,4.33,6.87}))</f>
        <v>0</v>
      </c>
      <c r="P9">
        <f>IF(ROUND(M9,0)&lt;15,0,LOOKUP(ROUND(M9,0),{15,16,17,18,19,20,21,22,23,24,25,26,27,28,29,30,31,32},{0.07,0.09,0.11,0.14,0.18,0.22,0.28,0.36,0.46,0.58,0.75,0.97,1.26,1.65,2.2,3.02,4.33,6.87}))</f>
        <v>0</v>
      </c>
      <c r="Q9" s="8">
        <f t="shared" si="4"/>
        <v>4.5</v>
      </c>
      <c r="R9" s="8">
        <f t="shared" si="0"/>
        <v>4.8</v>
      </c>
      <c r="S9" s="8">
        <f t="shared" si="0"/>
        <v>6.3</v>
      </c>
    </row>
    <row r="10" spans="1:19">
      <c r="C10" t="s">
        <v>18</v>
      </c>
      <c r="D10" s="1" t="s">
        <v>22</v>
      </c>
      <c r="E10" s="6">
        <v>4.0999999999999996</v>
      </c>
      <c r="F10">
        <v>0.1</v>
      </c>
      <c r="G10" s="7">
        <f>LOOKUP($I$2,{1,2,3,4,5,6,7,8},{0.4,0.4,0.5,0.5,0.5,0.5,0.3,0.4})</f>
        <v>0.3</v>
      </c>
      <c r="H10" s="7">
        <f>LOOKUP($I$2,{1,2,3,4,5,6,7,8},{2,2,1.5,1.5,1,1,1,1})</f>
        <v>1</v>
      </c>
      <c r="I10" s="6">
        <v>0.3</v>
      </c>
      <c r="J10" s="6">
        <v>2.1</v>
      </c>
      <c r="K10" s="6">
        <f t="shared" si="1"/>
        <v>5.4999999999999991</v>
      </c>
      <c r="L10" s="6">
        <f t="shared" si="2"/>
        <v>5.7999999999999989</v>
      </c>
      <c r="M10" s="6">
        <f t="shared" si="3"/>
        <v>7.6</v>
      </c>
      <c r="N10">
        <f>IF(ROUND(K10,0)&lt;15,0,LOOKUP(ROUND(K10,0),{15,16,17,18,19,20,21,22,23,24,25,26,27,28,29,30,31,32},{0.07,0.09,0.11,0.14,0.18,0.22,0.28,0.36,0.46,0.58,0.75,0.97,1.26,1.65,2.2,3.02,4.33,6.87}))</f>
        <v>0</v>
      </c>
      <c r="O10">
        <f>IF(ROUND(L10,0)&lt;15,0,LOOKUP(ROUND(L10,0),{15,16,17,18,19,20,21,22,23,24,25,26,27,28,29,30,31,32},{0.07,0.09,0.11,0.14,0.18,0.22,0.28,0.36,0.46,0.58,0.75,0.97,1.26,1.65,2.2,3.02,4.33,6.87}))</f>
        <v>0</v>
      </c>
      <c r="P10">
        <f>IF(ROUND(M10,0)&lt;15,0,LOOKUP(ROUND(M10,0),{15,16,17,18,19,20,21,22,23,24,25,26,27,28,29,30,31,32},{0.07,0.09,0.11,0.14,0.18,0.22,0.28,0.36,0.46,0.58,0.75,0.97,1.26,1.65,2.2,3.02,4.33,6.87}))</f>
        <v>0</v>
      </c>
      <c r="Q10" s="8">
        <f t="shared" si="4"/>
        <v>5.4999999999999991</v>
      </c>
      <c r="R10" s="8">
        <f t="shared" si="0"/>
        <v>5.7999999999999989</v>
      </c>
      <c r="S10" s="8">
        <f t="shared" si="0"/>
        <v>7.6</v>
      </c>
    </row>
    <row r="11" spans="1:19">
      <c r="C11" t="s">
        <v>18</v>
      </c>
      <c r="D11" s="1" t="s">
        <v>23</v>
      </c>
      <c r="E11" s="6">
        <v>4.7</v>
      </c>
      <c r="F11">
        <v>0.1</v>
      </c>
      <c r="G11" s="7">
        <f>LOOKUP($I$2,{1,2,3,4,5,6,7,8},{0.4,0.4,0.5,0.5,0.5,0.5,0.3,0.4})</f>
        <v>0.3</v>
      </c>
      <c r="H11" s="7">
        <f>LOOKUP($I$2,{1,2,3,4,5,6,7,8},{2,2,1.5,1.5,1,1,1,1})</f>
        <v>1</v>
      </c>
      <c r="I11" s="6">
        <v>0.3</v>
      </c>
      <c r="J11" s="6">
        <v>2.4</v>
      </c>
      <c r="K11" s="6">
        <f t="shared" si="1"/>
        <v>6.1</v>
      </c>
      <c r="L11" s="6">
        <f t="shared" si="2"/>
        <v>6.3999999999999995</v>
      </c>
      <c r="M11" s="6">
        <f t="shared" si="3"/>
        <v>8.5</v>
      </c>
      <c r="N11">
        <f>IF(ROUND(K11,0)&lt;15,0,LOOKUP(ROUND(K11,0),{15,16,17,18,19,20,21,22,23,24,25,26,27,28,29,30,31,32},{0.07,0.09,0.11,0.14,0.18,0.22,0.28,0.36,0.46,0.58,0.75,0.97,1.26,1.65,2.2,3.02,4.33,6.87}))</f>
        <v>0</v>
      </c>
      <c r="O11">
        <f>IF(ROUND(L11,0)&lt;15,0,LOOKUP(ROUND(L11,0),{15,16,17,18,19,20,21,22,23,24,25,26,27,28,29,30,31,32},{0.07,0.09,0.11,0.14,0.18,0.22,0.28,0.36,0.46,0.58,0.75,0.97,1.26,1.65,2.2,3.02,4.33,6.87}))</f>
        <v>0</v>
      </c>
      <c r="P11">
        <f>IF(ROUND(M11,0)&lt;15,0,LOOKUP(ROUND(M11,0),{15,16,17,18,19,20,21,22,23,24,25,26,27,28,29,30,31,32},{0.07,0.09,0.11,0.14,0.18,0.22,0.28,0.36,0.46,0.58,0.75,0.97,1.26,1.65,2.2,3.02,4.33,6.87}))</f>
        <v>0</v>
      </c>
      <c r="Q11" s="8">
        <f t="shared" si="4"/>
        <v>6.1</v>
      </c>
      <c r="R11" s="8">
        <f t="shared" si="0"/>
        <v>6.3999999999999995</v>
      </c>
      <c r="S11" s="8">
        <f t="shared" si="0"/>
        <v>8.5</v>
      </c>
    </row>
    <row r="12" spans="1:19">
      <c r="C12" t="s">
        <v>18</v>
      </c>
      <c r="D12" s="1" t="s">
        <v>24</v>
      </c>
      <c r="E12" s="6">
        <v>5.2</v>
      </c>
      <c r="F12">
        <v>0.1</v>
      </c>
      <c r="G12" s="7">
        <f>LOOKUP($I$2,{1,2,3,4,5,6,7,8},{0.4,0.4,0.5,0.5,0.5,0.5,0.3,0.4})</f>
        <v>0.3</v>
      </c>
      <c r="H12" s="7">
        <f>LOOKUP($I$2,{1,2,3,4,5,6,7,8},{2,2,1.5,1.5,1,1,1,1})</f>
        <v>1</v>
      </c>
      <c r="I12" s="6">
        <v>0.4</v>
      </c>
      <c r="J12" s="6">
        <v>2.7</v>
      </c>
      <c r="K12" s="6">
        <f t="shared" si="1"/>
        <v>6.6</v>
      </c>
      <c r="L12" s="6">
        <f t="shared" si="2"/>
        <v>7</v>
      </c>
      <c r="M12" s="6">
        <f t="shared" si="3"/>
        <v>9.3000000000000007</v>
      </c>
      <c r="N12">
        <f>IF(ROUND(K12,0)&lt;15,0,LOOKUP(ROUND(K12,0),{15,16,17,18,19,20,21,22,23,24,25,26,27,28,29,30,31,32},{0.07,0.09,0.11,0.14,0.18,0.22,0.28,0.36,0.46,0.58,0.75,0.97,1.26,1.65,2.2,3.02,4.33,6.87}))</f>
        <v>0</v>
      </c>
      <c r="O12">
        <f>IF(ROUND(L12,0)&lt;15,0,LOOKUP(ROUND(L12,0),{15,16,17,18,19,20,21,22,23,24,25,26,27,28,29,30,31,32},{0.07,0.09,0.11,0.14,0.18,0.22,0.28,0.36,0.46,0.58,0.75,0.97,1.26,1.65,2.2,3.02,4.33,6.87}))</f>
        <v>0</v>
      </c>
      <c r="P12">
        <f>IF(ROUND(M12,0)&lt;15,0,LOOKUP(ROUND(M12,0),{15,16,17,18,19,20,21,22,23,24,25,26,27,28,29,30,31,32},{0.07,0.09,0.11,0.14,0.18,0.22,0.28,0.36,0.46,0.58,0.75,0.97,1.26,1.65,2.2,3.02,4.33,6.87}))</f>
        <v>0</v>
      </c>
      <c r="Q12" s="8">
        <f t="shared" si="4"/>
        <v>6.6</v>
      </c>
      <c r="R12" s="8">
        <f t="shared" si="0"/>
        <v>7</v>
      </c>
      <c r="S12" s="8">
        <f t="shared" si="0"/>
        <v>9.3000000000000007</v>
      </c>
    </row>
    <row r="13" spans="1:19">
      <c r="C13" t="s">
        <v>25</v>
      </c>
      <c r="D13" s="1" t="s">
        <v>19</v>
      </c>
      <c r="E13" s="6">
        <v>6.2</v>
      </c>
      <c r="F13">
        <v>0.1</v>
      </c>
      <c r="G13" s="7">
        <f>LOOKUP($I$2,{1,2,3,4,5,6,7,8},{0.4,0.4,0.5,0.5,0.5,0.5,0.3,0.4})</f>
        <v>0.3</v>
      </c>
      <c r="H13" s="7">
        <f>LOOKUP($I$2,{1,2,3,4,5,6,7,8},{2,2,1.5,1.5,1,1,1,1})</f>
        <v>1</v>
      </c>
      <c r="I13" s="6">
        <v>0.2</v>
      </c>
      <c r="J13" s="6">
        <v>1.5</v>
      </c>
      <c r="K13" s="6">
        <f t="shared" si="1"/>
        <v>7.6</v>
      </c>
      <c r="L13" s="6">
        <f t="shared" si="2"/>
        <v>7.8</v>
      </c>
      <c r="M13" s="6">
        <f t="shared" si="3"/>
        <v>9.1</v>
      </c>
      <c r="N13">
        <f>IF(ROUND(K13,0)&lt;15,0,LOOKUP(ROUND(K13,0),{15,16,17,18,19,20,21,22,23,24,25,26,27,28,29,30,31,32},{0.07,0.09,0.11,0.14,0.18,0.22,0.28,0.36,0.46,0.58,0.75,0.97,1.26,1.65,2.2,3.02,4.33,6.87}))</f>
        <v>0</v>
      </c>
      <c r="O13">
        <f>IF(ROUND(L13,0)&lt;15,0,LOOKUP(ROUND(L13,0),{15,16,17,18,19,20,21,22,23,24,25,26,27,28,29,30,31,32},{0.07,0.09,0.11,0.14,0.18,0.22,0.28,0.36,0.46,0.58,0.75,0.97,1.26,1.65,2.2,3.02,4.33,6.87}))</f>
        <v>0</v>
      </c>
      <c r="P13">
        <f>IF(ROUND(M13,0)&lt;15,0,LOOKUP(ROUND(M13,0),{15,16,17,18,19,20,21,22,23,24,25,26,27,28,29,30,31,32},{0.07,0.09,0.11,0.14,0.18,0.22,0.28,0.36,0.46,0.58,0.75,0.97,1.26,1.65,2.2,3.02,4.33,6.87}))</f>
        <v>0</v>
      </c>
      <c r="Q13" s="8">
        <f t="shared" si="4"/>
        <v>7.6</v>
      </c>
      <c r="R13" s="8">
        <f t="shared" si="0"/>
        <v>7.8</v>
      </c>
      <c r="S13" s="8">
        <f t="shared" si="0"/>
        <v>9.1</v>
      </c>
    </row>
    <row r="14" spans="1:19">
      <c r="C14" t="s">
        <v>25</v>
      </c>
      <c r="D14" s="1" t="s">
        <v>20</v>
      </c>
      <c r="E14" s="6">
        <v>7.6</v>
      </c>
      <c r="F14">
        <v>0.1</v>
      </c>
      <c r="G14" s="7">
        <f>LOOKUP($I$2,{1,2,3,4,5,6,7,8},{0.4,0.4,0.5,0.5,0.5,0.5,0.3,0.4})</f>
        <v>0.3</v>
      </c>
      <c r="H14" s="7">
        <f>LOOKUP($I$2,{1,2,3,4,5,6,7,8},{2,2,1.5,1.5,1,1,1,1})</f>
        <v>1</v>
      </c>
      <c r="I14" s="6">
        <v>0.2</v>
      </c>
      <c r="J14" s="6">
        <v>1.7</v>
      </c>
      <c r="K14" s="6">
        <f t="shared" si="1"/>
        <v>9</v>
      </c>
      <c r="L14" s="6">
        <f t="shared" si="2"/>
        <v>9.1999999999999993</v>
      </c>
      <c r="M14" s="6">
        <f t="shared" si="3"/>
        <v>10.7</v>
      </c>
      <c r="N14">
        <f>IF(ROUND(K14,0)&lt;15,0,LOOKUP(ROUND(K14,0),{15,16,17,18,19,20,21,22,23,24,25,26,27,28,29,30,31,32},{0.07,0.09,0.11,0.14,0.18,0.22,0.28,0.36,0.46,0.58,0.75,0.97,1.26,1.65,2.2,3.02,4.33,6.87}))</f>
        <v>0</v>
      </c>
      <c r="O14">
        <f>IF(ROUND(L14,0)&lt;15,0,LOOKUP(ROUND(L14,0),{15,16,17,18,19,20,21,22,23,24,25,26,27,28,29,30,31,32},{0.07,0.09,0.11,0.14,0.18,0.22,0.28,0.36,0.46,0.58,0.75,0.97,1.26,1.65,2.2,3.02,4.33,6.87}))</f>
        <v>0</v>
      </c>
      <c r="P14">
        <f>IF(ROUND(M14,0)&lt;15,0,LOOKUP(ROUND(M14,0),{15,16,17,18,19,20,21,22,23,24,25,26,27,28,29,30,31,32},{0.07,0.09,0.11,0.14,0.18,0.22,0.28,0.36,0.46,0.58,0.75,0.97,1.26,1.65,2.2,3.02,4.33,6.87}))</f>
        <v>0</v>
      </c>
      <c r="Q14" s="8">
        <f t="shared" si="4"/>
        <v>9</v>
      </c>
      <c r="R14" s="8">
        <f t="shared" si="0"/>
        <v>9.1999999999999993</v>
      </c>
      <c r="S14" s="8">
        <f t="shared" si="0"/>
        <v>10.7</v>
      </c>
    </row>
    <row r="15" spans="1:19">
      <c r="C15" t="s">
        <v>25</v>
      </c>
      <c r="D15" s="1" t="s">
        <v>21</v>
      </c>
      <c r="E15" s="6">
        <v>8.9</v>
      </c>
      <c r="F15">
        <v>0.1</v>
      </c>
      <c r="G15" s="7">
        <f>LOOKUP($I$2,{1,2,3,4,5,6,7,8},{0.4,0.4,0.5,0.5,0.5,0.5,0.3,0.4})</f>
        <v>0.3</v>
      </c>
      <c r="H15" s="7">
        <f>LOOKUP($I$2,{1,2,3,4,5,6,7,8},{2,2,1.5,1.5,1,1,1,1})</f>
        <v>1</v>
      </c>
      <c r="I15" s="6">
        <v>0.2</v>
      </c>
      <c r="J15" s="6">
        <v>1.9</v>
      </c>
      <c r="K15" s="6">
        <f t="shared" si="1"/>
        <v>10.3</v>
      </c>
      <c r="L15" s="6">
        <f t="shared" si="2"/>
        <v>10.5</v>
      </c>
      <c r="M15" s="6">
        <f t="shared" si="3"/>
        <v>12.200000000000001</v>
      </c>
      <c r="N15">
        <f>IF(ROUND(K15,0)&lt;15,0,LOOKUP(ROUND(K15,0),{15,16,17,18,19,20,21,22,23,24,25,26,27,28,29,30,31,32},{0.07,0.09,0.11,0.14,0.18,0.22,0.28,0.36,0.46,0.58,0.75,0.97,1.26,1.65,2.2,3.02,4.33,6.87}))</f>
        <v>0</v>
      </c>
      <c r="O15">
        <f>IF(ROUND(L15,0)&lt;15,0,LOOKUP(ROUND(L15,0),{15,16,17,18,19,20,21,22,23,24,25,26,27,28,29,30,31,32},{0.07,0.09,0.11,0.14,0.18,0.22,0.28,0.36,0.46,0.58,0.75,0.97,1.26,1.65,2.2,3.02,4.33,6.87}))</f>
        <v>0</v>
      </c>
      <c r="P15">
        <f>IF(ROUND(M15,0)&lt;15,0,LOOKUP(ROUND(M15,0),{15,16,17,18,19,20,21,22,23,24,25,26,27,28,29,30,31,32},{0.07,0.09,0.11,0.14,0.18,0.22,0.28,0.36,0.46,0.58,0.75,0.97,1.26,1.65,2.2,3.02,4.33,6.87}))</f>
        <v>0</v>
      </c>
      <c r="Q15" s="8">
        <f t="shared" si="4"/>
        <v>10.3</v>
      </c>
      <c r="R15" s="8">
        <f t="shared" si="0"/>
        <v>10.5</v>
      </c>
      <c r="S15" s="8">
        <f t="shared" si="0"/>
        <v>12.200000000000001</v>
      </c>
    </row>
    <row r="16" spans="1:19">
      <c r="C16" t="s">
        <v>25</v>
      </c>
      <c r="D16" s="1" t="s">
        <v>22</v>
      </c>
      <c r="E16" s="6">
        <v>10</v>
      </c>
      <c r="F16">
        <v>0.1</v>
      </c>
      <c r="G16" s="7">
        <f>LOOKUP($I$2,{1,2,3,4,5,6,7,8},{0.4,0.4,0.5,0.5,0.5,0.5,0.3,0.4})</f>
        <v>0.3</v>
      </c>
      <c r="H16" s="7">
        <f>LOOKUP($I$2,{1,2,3,4,5,6,7,8},{2,2,1.5,1.5,1,1,1,1})</f>
        <v>1</v>
      </c>
      <c r="I16" s="6">
        <v>0.4</v>
      </c>
      <c r="J16" s="6">
        <v>2.4</v>
      </c>
      <c r="K16" s="6">
        <f t="shared" si="1"/>
        <v>11.4</v>
      </c>
      <c r="L16" s="6">
        <f t="shared" si="2"/>
        <v>11.8</v>
      </c>
      <c r="M16" s="6">
        <f t="shared" si="3"/>
        <v>13.8</v>
      </c>
      <c r="N16">
        <f>IF(ROUND(K16,0)&lt;15,0,LOOKUP(ROUND(K16,0),{15,16,17,18,19,20,21,22,23,24,25,26,27,28,29,30,31,32},{0.07,0.09,0.11,0.14,0.18,0.22,0.28,0.36,0.46,0.58,0.75,0.97,1.26,1.65,2.2,3.02,4.33,6.87}))</f>
        <v>0</v>
      </c>
      <c r="O16">
        <f>IF(ROUND(L16,0)&lt;15,0,LOOKUP(ROUND(L16,0),{15,16,17,18,19,20,21,22,23,24,25,26,27,28,29,30,31,32},{0.07,0.09,0.11,0.14,0.18,0.22,0.28,0.36,0.46,0.58,0.75,0.97,1.26,1.65,2.2,3.02,4.33,6.87}))</f>
        <v>0</v>
      </c>
      <c r="P16">
        <f>IF(ROUND(M16,0)&lt;15,0,LOOKUP(ROUND(M16,0),{15,16,17,18,19,20,21,22,23,24,25,26,27,28,29,30,31,32},{0.07,0.09,0.11,0.14,0.18,0.22,0.28,0.36,0.46,0.58,0.75,0.97,1.26,1.65,2.2,3.02,4.33,6.87}))</f>
        <v>0</v>
      </c>
      <c r="Q16" s="8">
        <f t="shared" si="4"/>
        <v>11.4</v>
      </c>
      <c r="R16" s="8">
        <f t="shared" si="0"/>
        <v>11.8</v>
      </c>
      <c r="S16" s="8">
        <f t="shared" si="0"/>
        <v>13.8</v>
      </c>
    </row>
    <row r="17" spans="3:19">
      <c r="C17" t="s">
        <v>25</v>
      </c>
      <c r="D17" s="1" t="s">
        <v>23</v>
      </c>
      <c r="E17" s="6">
        <v>10.8</v>
      </c>
      <c r="F17">
        <v>0.1</v>
      </c>
      <c r="G17" s="7">
        <f>LOOKUP($I$2,{1,2,3,4,5,6,7,8},{0.4,0.4,0.5,0.5,0.5,0.5,0.3,0.4})</f>
        <v>0.3</v>
      </c>
      <c r="H17" s="7">
        <f>LOOKUP($I$2,{1,2,3,4,5,6,7,8},{2,2,1.5,1.5,1,1,1,1})</f>
        <v>1</v>
      </c>
      <c r="I17" s="6">
        <v>0.4</v>
      </c>
      <c r="J17" s="6">
        <v>2.8</v>
      </c>
      <c r="K17" s="6">
        <f t="shared" si="1"/>
        <v>12.200000000000001</v>
      </c>
      <c r="L17" s="6">
        <f t="shared" si="2"/>
        <v>12.600000000000001</v>
      </c>
      <c r="M17" s="6">
        <f t="shared" si="3"/>
        <v>15</v>
      </c>
      <c r="N17">
        <f>IF(ROUND(K17,0)&lt;15,0,LOOKUP(ROUND(K17,0),{15,16,17,18,19,20,21,22,23,24,25,26,27,28,29,30,31,32},{0.07,0.09,0.11,0.14,0.18,0.22,0.28,0.36,0.46,0.58,0.75,0.97,1.26,1.65,2.2,3.02,4.33,6.87}))</f>
        <v>0</v>
      </c>
      <c r="O17">
        <f>IF(ROUND(L17,0)&lt;15,0,LOOKUP(ROUND(L17,0),{15,16,17,18,19,20,21,22,23,24,25,26,27,28,29,30,31,32},{0.07,0.09,0.11,0.14,0.18,0.22,0.28,0.36,0.46,0.58,0.75,0.97,1.26,1.65,2.2,3.02,4.33,6.87}))</f>
        <v>0</v>
      </c>
      <c r="P17">
        <f>IF(ROUND(M17,0)&lt;15,0,LOOKUP(ROUND(M17,0),{15,16,17,18,19,20,21,22,23,24,25,26,27,28,29,30,31,32},{0.07,0.09,0.11,0.14,0.18,0.22,0.28,0.36,0.46,0.58,0.75,0.97,1.26,1.65,2.2,3.02,4.33,6.87}))</f>
        <v>7.0000000000000007E-2</v>
      </c>
      <c r="Q17" s="8">
        <f t="shared" si="4"/>
        <v>12.200000000000001</v>
      </c>
      <c r="R17" s="8">
        <f t="shared" si="0"/>
        <v>12.600000000000001</v>
      </c>
      <c r="S17" s="8">
        <f t="shared" si="0"/>
        <v>15.07</v>
      </c>
    </row>
    <row r="18" spans="3:19">
      <c r="C18" t="s">
        <v>25</v>
      </c>
      <c r="D18" s="1" t="s">
        <v>24</v>
      </c>
      <c r="E18" s="6">
        <v>11.3</v>
      </c>
      <c r="F18">
        <v>0.1</v>
      </c>
      <c r="G18" s="7">
        <f>LOOKUP($I$2,{1,2,3,4,5,6,7,8},{0.4,0.4,0.5,0.5,0.5,0.5,0.3,0.4})</f>
        <v>0.3</v>
      </c>
      <c r="H18" s="7">
        <f>LOOKUP($I$2,{1,2,3,4,5,6,7,8},{2,2,1.5,1.5,1,1,1,1})</f>
        <v>1</v>
      </c>
      <c r="I18" s="6">
        <v>0.4</v>
      </c>
      <c r="J18" s="6">
        <v>3.1</v>
      </c>
      <c r="K18" s="6">
        <f t="shared" si="1"/>
        <v>12.700000000000001</v>
      </c>
      <c r="L18" s="6">
        <f t="shared" si="2"/>
        <v>13.100000000000001</v>
      </c>
      <c r="M18" s="6">
        <f t="shared" si="3"/>
        <v>15.8</v>
      </c>
      <c r="N18">
        <f>IF(ROUND(K18,0)&lt;15,0,LOOKUP(ROUND(K18,0),{15,16,17,18,19,20,21,22,23,24,25,26,27,28,29,30,31,32},{0.07,0.09,0.11,0.14,0.18,0.22,0.28,0.36,0.46,0.58,0.75,0.97,1.26,1.65,2.2,3.02,4.33,6.87}))</f>
        <v>0</v>
      </c>
      <c r="O18">
        <f>IF(ROUND(L18,0)&lt;15,0,LOOKUP(ROUND(L18,0),{15,16,17,18,19,20,21,22,23,24,25,26,27,28,29,30,31,32},{0.07,0.09,0.11,0.14,0.18,0.22,0.28,0.36,0.46,0.58,0.75,0.97,1.26,1.65,2.2,3.02,4.33,6.87}))</f>
        <v>0</v>
      </c>
      <c r="P18">
        <f>IF(ROUND(M18,0)&lt;15,0,LOOKUP(ROUND(M18,0),{15,16,17,18,19,20,21,22,23,24,25,26,27,28,29,30,31,32},{0.07,0.09,0.11,0.14,0.18,0.22,0.28,0.36,0.46,0.58,0.75,0.97,1.26,1.65,2.2,3.02,4.33,6.87}))</f>
        <v>0.09</v>
      </c>
      <c r="Q18" s="8">
        <f t="shared" si="4"/>
        <v>12.700000000000001</v>
      </c>
      <c r="R18" s="8">
        <f t="shared" si="0"/>
        <v>13.100000000000001</v>
      </c>
      <c r="S18" s="8">
        <f t="shared" si="0"/>
        <v>15.89</v>
      </c>
    </row>
    <row r="19" spans="3:19">
      <c r="C19" t="s">
        <v>26</v>
      </c>
      <c r="D19" s="1" t="s">
        <v>19</v>
      </c>
      <c r="E19" s="6">
        <v>10.5</v>
      </c>
      <c r="F19">
        <v>0.1</v>
      </c>
      <c r="G19" s="7">
        <f>LOOKUP($I$2,{1,2,3,4,5,6,7,8},{0.4,0.4,0.5,0.5,0.5,0.5,0.3,0.4})</f>
        <v>0.3</v>
      </c>
      <c r="H19" s="7">
        <f>LOOKUP($I$2,{1,2,3,4,5,6,7,8},{2,2,1.5,1.5,1,1,1,1})</f>
        <v>1</v>
      </c>
      <c r="I19" s="6">
        <v>0.3</v>
      </c>
      <c r="J19" s="6">
        <v>2</v>
      </c>
      <c r="K19" s="6">
        <f t="shared" si="1"/>
        <v>11.9</v>
      </c>
      <c r="L19" s="6">
        <f t="shared" si="2"/>
        <v>12.200000000000001</v>
      </c>
      <c r="M19" s="6">
        <f t="shared" si="3"/>
        <v>13.9</v>
      </c>
      <c r="N19">
        <f>IF(ROUND(K19,0)&lt;15,0,LOOKUP(ROUND(K19,0),{15,16,17,18,19,20,21,22,23,24,25,26,27,28,29,30,31,32},{0.07,0.09,0.11,0.14,0.18,0.22,0.28,0.36,0.46,0.58,0.75,0.97,1.26,1.65,2.2,3.02,4.33,6.87}))</f>
        <v>0</v>
      </c>
      <c r="O19">
        <f>IF(ROUND(L19,0)&lt;15,0,LOOKUP(ROUND(L19,0),{15,16,17,18,19,20,21,22,23,24,25,26,27,28,29,30,31,32},{0.07,0.09,0.11,0.14,0.18,0.22,0.28,0.36,0.46,0.58,0.75,0.97,1.26,1.65,2.2,3.02,4.33,6.87}))</f>
        <v>0</v>
      </c>
      <c r="P19">
        <f>IF(ROUND(M19,0)&lt;15,0,LOOKUP(ROUND(M19,0),{15,16,17,18,19,20,21,22,23,24,25,26,27,28,29,30,31,32},{0.07,0.09,0.11,0.14,0.18,0.22,0.28,0.36,0.46,0.58,0.75,0.97,1.26,1.65,2.2,3.02,4.33,6.87}))</f>
        <v>0</v>
      </c>
      <c r="Q19" s="8">
        <f t="shared" si="4"/>
        <v>11.9</v>
      </c>
      <c r="R19" s="8">
        <f t="shared" si="0"/>
        <v>12.200000000000001</v>
      </c>
      <c r="S19" s="8">
        <f t="shared" si="0"/>
        <v>13.9</v>
      </c>
    </row>
    <row r="20" spans="3:19">
      <c r="C20" t="s">
        <v>26</v>
      </c>
      <c r="D20" s="1" t="s">
        <v>20</v>
      </c>
      <c r="E20" s="6">
        <v>12.3</v>
      </c>
      <c r="F20">
        <v>0.1</v>
      </c>
      <c r="G20" s="7">
        <f>LOOKUP($I$2,{1,2,3,4,5,6,7,8},{0.4,0.4,0.5,0.5,0.5,0.5,0.3,0.4})</f>
        <v>0.3</v>
      </c>
      <c r="H20" s="7">
        <f>LOOKUP($I$2,{1,2,3,4,5,6,7,8},{2,2,1.5,1.5,1,1,1,1})</f>
        <v>1</v>
      </c>
      <c r="I20" s="6">
        <v>0.3</v>
      </c>
      <c r="J20" s="6">
        <v>2</v>
      </c>
      <c r="K20" s="6">
        <f t="shared" si="1"/>
        <v>13.700000000000001</v>
      </c>
      <c r="L20" s="6">
        <f t="shared" si="2"/>
        <v>14.000000000000002</v>
      </c>
      <c r="M20" s="6">
        <f t="shared" si="3"/>
        <v>15.700000000000001</v>
      </c>
      <c r="N20">
        <f>IF(ROUND(K20,0)&lt;15,0,LOOKUP(ROUND(K20,0),{15,16,17,18,19,20,21,22,23,24,25,26,27,28,29,30,31,32},{0.07,0.09,0.11,0.14,0.18,0.22,0.28,0.36,0.46,0.58,0.75,0.97,1.26,1.65,2.2,3.02,4.33,6.87}))</f>
        <v>0</v>
      </c>
      <c r="O20">
        <f>IF(ROUND(L20,0)&lt;15,0,LOOKUP(ROUND(L20,0),{15,16,17,18,19,20,21,22,23,24,25,26,27,28,29,30,31,32},{0.07,0.09,0.11,0.14,0.18,0.22,0.28,0.36,0.46,0.58,0.75,0.97,1.26,1.65,2.2,3.02,4.33,6.87}))</f>
        <v>0</v>
      </c>
      <c r="P20">
        <f>IF(ROUND(M20,0)&lt;15,0,LOOKUP(ROUND(M20,0),{15,16,17,18,19,20,21,22,23,24,25,26,27,28,29,30,31,32},{0.07,0.09,0.11,0.14,0.18,0.22,0.28,0.36,0.46,0.58,0.75,0.97,1.26,1.65,2.2,3.02,4.33,6.87}))</f>
        <v>0.09</v>
      </c>
      <c r="Q20" s="8">
        <f t="shared" si="4"/>
        <v>13.700000000000001</v>
      </c>
      <c r="R20" s="8">
        <f t="shared" si="0"/>
        <v>14.000000000000002</v>
      </c>
      <c r="S20" s="8">
        <f t="shared" si="0"/>
        <v>15.790000000000001</v>
      </c>
    </row>
    <row r="21" spans="3:19">
      <c r="C21" t="s">
        <v>26</v>
      </c>
      <c r="D21" s="1" t="s">
        <v>21</v>
      </c>
      <c r="E21" s="6">
        <v>13.6</v>
      </c>
      <c r="F21">
        <v>0.1</v>
      </c>
      <c r="G21" s="7">
        <f>LOOKUP($I$2,{1,2,3,4,5,6,7,8},{0.4,0.4,0.5,0.5,0.5,0.5,0.3,0.4})</f>
        <v>0.3</v>
      </c>
      <c r="H21" s="7">
        <f>LOOKUP($I$2,{1,2,3,4,5,6,7,8},{2,2,1.5,1.5,1,1,1,1})</f>
        <v>1</v>
      </c>
      <c r="I21" s="6">
        <v>0.3</v>
      </c>
      <c r="J21" s="6">
        <v>2.1</v>
      </c>
      <c r="K21" s="6">
        <f t="shared" si="1"/>
        <v>15</v>
      </c>
      <c r="L21" s="6">
        <f t="shared" si="2"/>
        <v>15.3</v>
      </c>
      <c r="M21" s="6">
        <f t="shared" si="3"/>
        <v>17.100000000000001</v>
      </c>
      <c r="N21">
        <f>IF(ROUND(K21,0)&lt;15,0,LOOKUP(ROUND(K21,0),{15,16,17,18,19,20,21,22,23,24,25,26,27,28,29,30,31,32},{0.07,0.09,0.11,0.14,0.18,0.22,0.28,0.36,0.46,0.58,0.75,0.97,1.26,1.65,2.2,3.02,4.33,6.87}))</f>
        <v>7.0000000000000007E-2</v>
      </c>
      <c r="O21">
        <f>IF(ROUND(L21,0)&lt;15,0,LOOKUP(ROUND(L21,0),{15,16,17,18,19,20,21,22,23,24,25,26,27,28,29,30,31,32},{0.07,0.09,0.11,0.14,0.18,0.22,0.28,0.36,0.46,0.58,0.75,0.97,1.26,1.65,2.2,3.02,4.33,6.87}))</f>
        <v>7.0000000000000007E-2</v>
      </c>
      <c r="P21">
        <f>IF(ROUND(M21,0)&lt;15,0,LOOKUP(ROUND(M21,0),{15,16,17,18,19,20,21,22,23,24,25,26,27,28,29,30,31,32},{0.07,0.09,0.11,0.14,0.18,0.22,0.28,0.36,0.46,0.58,0.75,0.97,1.26,1.65,2.2,3.02,4.33,6.87}))</f>
        <v>0.11</v>
      </c>
      <c r="Q21" s="8">
        <f t="shared" si="4"/>
        <v>15.07</v>
      </c>
      <c r="R21" s="8">
        <f t="shared" si="0"/>
        <v>15.370000000000001</v>
      </c>
      <c r="S21" s="8">
        <f t="shared" si="0"/>
        <v>17.21</v>
      </c>
    </row>
    <row r="22" spans="3:19">
      <c r="C22" t="s">
        <v>26</v>
      </c>
      <c r="D22" s="1" t="s">
        <v>22</v>
      </c>
      <c r="E22" s="6">
        <v>15.1</v>
      </c>
      <c r="F22">
        <v>0.1</v>
      </c>
      <c r="G22" s="7">
        <f>LOOKUP($I$2,{1,2,3,4,5,6,7,8},{0.4,0.4,0.5,0.5,0.5,0.5,0.3,0.4})</f>
        <v>0.3</v>
      </c>
      <c r="H22" s="7">
        <f>LOOKUP($I$2,{1,2,3,4,5,6,7,8},{2,2,1.5,1.5,1,1,1,1})</f>
        <v>1</v>
      </c>
      <c r="I22" s="6">
        <v>0.3</v>
      </c>
      <c r="J22" s="6">
        <v>2.6</v>
      </c>
      <c r="K22" s="6">
        <f t="shared" si="1"/>
        <v>16.5</v>
      </c>
      <c r="L22" s="6">
        <f t="shared" si="2"/>
        <v>16.8</v>
      </c>
      <c r="M22" s="6">
        <f t="shared" si="3"/>
        <v>19.100000000000001</v>
      </c>
      <c r="N22">
        <f>IF(ROUND(K22,0)&lt;15,0,LOOKUP(ROUND(K22,0),{15,16,17,18,19,20,21,22,23,24,25,26,27,28,29,30,31,32},{0.07,0.09,0.11,0.14,0.18,0.22,0.28,0.36,0.46,0.58,0.75,0.97,1.26,1.65,2.2,3.02,4.33,6.87}))</f>
        <v>0.11</v>
      </c>
      <c r="O22">
        <f>IF(ROUND(L22,0)&lt;15,0,LOOKUP(ROUND(L22,0),{15,16,17,18,19,20,21,22,23,24,25,26,27,28,29,30,31,32},{0.07,0.09,0.11,0.14,0.18,0.22,0.28,0.36,0.46,0.58,0.75,0.97,1.26,1.65,2.2,3.02,4.33,6.87}))</f>
        <v>0.11</v>
      </c>
      <c r="P22">
        <f>IF(ROUND(M22,0)&lt;15,0,LOOKUP(ROUND(M22,0),{15,16,17,18,19,20,21,22,23,24,25,26,27,28,29,30,31,32},{0.07,0.09,0.11,0.14,0.18,0.22,0.28,0.36,0.46,0.58,0.75,0.97,1.26,1.65,2.2,3.02,4.33,6.87}))</f>
        <v>0.18</v>
      </c>
      <c r="Q22" s="8">
        <f t="shared" si="4"/>
        <v>16.61</v>
      </c>
      <c r="R22" s="8">
        <f t="shared" si="0"/>
        <v>16.91</v>
      </c>
      <c r="S22" s="8">
        <f t="shared" si="0"/>
        <v>19.28</v>
      </c>
    </row>
    <row r="23" spans="3:19">
      <c r="C23" t="s">
        <v>26</v>
      </c>
      <c r="D23" s="1" t="s">
        <v>23</v>
      </c>
      <c r="E23" s="6">
        <v>16.100000000000001</v>
      </c>
      <c r="F23">
        <v>0.1</v>
      </c>
      <c r="G23" s="7">
        <f>LOOKUP($I$2,{1,2,3,4,5,6,7,8},{0.4,0.4,0.5,0.5,0.5,0.5,0.3,0.4})</f>
        <v>0.3</v>
      </c>
      <c r="H23" s="7">
        <f>LOOKUP($I$2,{1,2,3,4,5,6,7,8},{2,2,1.5,1.5,1,1,1,1})</f>
        <v>1</v>
      </c>
      <c r="I23" s="6">
        <v>0.5</v>
      </c>
      <c r="J23" s="6">
        <v>3.1</v>
      </c>
      <c r="K23" s="6">
        <f t="shared" si="1"/>
        <v>17.500000000000004</v>
      </c>
      <c r="L23" s="6">
        <f t="shared" si="2"/>
        <v>18.000000000000004</v>
      </c>
      <c r="M23" s="6">
        <f t="shared" si="3"/>
        <v>20.600000000000005</v>
      </c>
      <c r="N23">
        <f>IF(ROUND(K23,0)&lt;15,0,LOOKUP(ROUND(K23,0),{15,16,17,18,19,20,21,22,23,24,25,26,27,28,29,30,31,32},{0.07,0.09,0.11,0.14,0.18,0.22,0.28,0.36,0.46,0.58,0.75,0.97,1.26,1.65,2.2,3.02,4.33,6.87}))</f>
        <v>0.14000000000000001</v>
      </c>
      <c r="O23">
        <f>IF(ROUND(L23,0)&lt;15,0,LOOKUP(ROUND(L23,0),{15,16,17,18,19,20,21,22,23,24,25,26,27,28,29,30,31,32},{0.07,0.09,0.11,0.14,0.18,0.22,0.28,0.36,0.46,0.58,0.75,0.97,1.26,1.65,2.2,3.02,4.33,6.87}))</f>
        <v>0.14000000000000001</v>
      </c>
      <c r="P23">
        <f>IF(ROUND(M23,0)&lt;15,0,LOOKUP(ROUND(M23,0),{15,16,17,18,19,20,21,22,23,24,25,26,27,28,29,30,31,32},{0.07,0.09,0.11,0.14,0.18,0.22,0.28,0.36,0.46,0.58,0.75,0.97,1.26,1.65,2.2,3.02,4.33,6.87}))</f>
        <v>0.28000000000000003</v>
      </c>
      <c r="Q23" s="8">
        <f t="shared" si="4"/>
        <v>17.640000000000004</v>
      </c>
      <c r="R23" s="8">
        <f t="shared" si="0"/>
        <v>18.140000000000004</v>
      </c>
      <c r="S23" s="8">
        <f t="shared" si="0"/>
        <v>20.880000000000006</v>
      </c>
    </row>
    <row r="24" spans="3:19">
      <c r="C24" t="s">
        <v>26</v>
      </c>
      <c r="D24" s="1" t="s">
        <v>24</v>
      </c>
      <c r="E24" s="6">
        <v>16.7</v>
      </c>
      <c r="F24">
        <v>0.1</v>
      </c>
      <c r="G24" s="7">
        <f>LOOKUP($I$2,{1,2,3,4,5,6,7,8},{0.4,0.4,0.5,0.5,0.5,0.5,0.3,0.4})</f>
        <v>0.3</v>
      </c>
      <c r="H24" s="7">
        <f>LOOKUP($I$2,{1,2,3,4,5,6,7,8},{2,2,1.5,1.5,1,1,1,1})</f>
        <v>1</v>
      </c>
      <c r="I24" s="6">
        <v>0.4</v>
      </c>
      <c r="J24" s="6">
        <v>3.4</v>
      </c>
      <c r="K24" s="6">
        <f t="shared" si="1"/>
        <v>18.100000000000001</v>
      </c>
      <c r="L24" s="6">
        <f t="shared" si="2"/>
        <v>18.5</v>
      </c>
      <c r="M24" s="6">
        <f t="shared" si="3"/>
        <v>21.5</v>
      </c>
      <c r="N24">
        <f>IF(ROUND(K24,0)&lt;15,0,LOOKUP(ROUND(K24,0),{15,16,17,18,19,20,21,22,23,24,25,26,27,28,29,30,31,32},{0.07,0.09,0.11,0.14,0.18,0.22,0.28,0.36,0.46,0.58,0.75,0.97,1.26,1.65,2.2,3.02,4.33,6.87}))</f>
        <v>0.14000000000000001</v>
      </c>
      <c r="O24">
        <f>IF(ROUND(L24,0)&lt;15,0,LOOKUP(ROUND(L24,0),{15,16,17,18,19,20,21,22,23,24,25,26,27,28,29,30,31,32},{0.07,0.09,0.11,0.14,0.18,0.22,0.28,0.36,0.46,0.58,0.75,0.97,1.26,1.65,2.2,3.02,4.33,6.87}))</f>
        <v>0.18</v>
      </c>
      <c r="P24">
        <f>IF(ROUND(M24,0)&lt;15,0,LOOKUP(ROUND(M24,0),{15,16,17,18,19,20,21,22,23,24,25,26,27,28,29,30,31,32},{0.07,0.09,0.11,0.14,0.18,0.22,0.28,0.36,0.46,0.58,0.75,0.97,1.26,1.65,2.2,3.02,4.33,6.87}))</f>
        <v>0.36</v>
      </c>
      <c r="Q24" s="8">
        <f t="shared" si="4"/>
        <v>18.240000000000002</v>
      </c>
      <c r="R24" s="8">
        <f t="shared" si="0"/>
        <v>18.68</v>
      </c>
      <c r="S24" s="8">
        <f t="shared" si="0"/>
        <v>21.86</v>
      </c>
    </row>
    <row r="25" spans="3:19">
      <c r="C25" t="s">
        <v>27</v>
      </c>
      <c r="D25" s="1" t="s">
        <v>19</v>
      </c>
      <c r="E25" s="6">
        <v>14.4</v>
      </c>
      <c r="F25">
        <v>0.1</v>
      </c>
      <c r="G25" s="7">
        <f>LOOKUP($I$2,{1,2,3,4,5,6,7,8},{0.4,0.4,0.5,0.5,0.5,0.5,0.3,0.4})</f>
        <v>0.3</v>
      </c>
      <c r="H25" s="7">
        <f>LOOKUP($I$2,{1,2,3,4,5,6,7,8},{2,2,1.5,1.5,1,1,1,1})</f>
        <v>1</v>
      </c>
      <c r="I25" s="6">
        <v>0.4</v>
      </c>
      <c r="J25" s="6">
        <v>2.4</v>
      </c>
      <c r="K25" s="6">
        <f t="shared" si="1"/>
        <v>15.8</v>
      </c>
      <c r="L25" s="6">
        <f t="shared" si="2"/>
        <v>16.2</v>
      </c>
      <c r="M25" s="6">
        <f t="shared" si="3"/>
        <v>18.2</v>
      </c>
      <c r="N25">
        <f>IF(ROUND(K25,0)&lt;15,0,LOOKUP(ROUND(K25,0),{15,16,17,18,19,20,21,22,23,24,25,26,27,28,29,30,31,32},{0.07,0.09,0.11,0.14,0.18,0.22,0.28,0.36,0.46,0.58,0.75,0.97,1.26,1.65,2.2,3.02,4.33,6.87}))</f>
        <v>0.09</v>
      </c>
      <c r="O25">
        <f>IF(ROUND(L25,0)&lt;15,0,LOOKUP(ROUND(L25,0),{15,16,17,18,19,20,21,22,23,24,25,26,27,28,29,30,31,32},{0.07,0.09,0.11,0.14,0.18,0.22,0.28,0.36,0.46,0.58,0.75,0.97,1.26,1.65,2.2,3.02,4.33,6.87}))</f>
        <v>0.09</v>
      </c>
      <c r="P25">
        <f>IF(ROUND(M25,0)&lt;15,0,LOOKUP(ROUND(M25,0),{15,16,17,18,19,20,21,22,23,24,25,26,27,28,29,30,31,32},{0.07,0.09,0.11,0.14,0.18,0.22,0.28,0.36,0.46,0.58,0.75,0.97,1.26,1.65,2.2,3.02,4.33,6.87}))</f>
        <v>0.14000000000000001</v>
      </c>
      <c r="Q25" s="8">
        <f t="shared" si="4"/>
        <v>15.89</v>
      </c>
      <c r="R25" s="8">
        <f t="shared" si="0"/>
        <v>16.29</v>
      </c>
      <c r="S25" s="8">
        <f t="shared" si="0"/>
        <v>18.34</v>
      </c>
    </row>
    <row r="26" spans="3:19">
      <c r="C26" t="s">
        <v>27</v>
      </c>
      <c r="D26" s="1" t="s">
        <v>20</v>
      </c>
      <c r="E26" s="6">
        <v>16.7</v>
      </c>
      <c r="F26">
        <v>0.1</v>
      </c>
      <c r="G26" s="7">
        <f>LOOKUP($I$2,{1,2,3,4,5,6,7,8},{0.4,0.4,0.5,0.5,0.5,0.5,0.3,0.4})</f>
        <v>0.3</v>
      </c>
      <c r="H26" s="7">
        <f>LOOKUP($I$2,{1,2,3,4,5,6,7,8},{2,2,1.5,1.5,1,1,1,1})</f>
        <v>1</v>
      </c>
      <c r="I26" s="6">
        <v>0.2</v>
      </c>
      <c r="J26" s="6">
        <v>2.2000000000000002</v>
      </c>
      <c r="K26" s="6">
        <f t="shared" si="1"/>
        <v>18.100000000000001</v>
      </c>
      <c r="L26" s="6">
        <f t="shared" si="2"/>
        <v>18.3</v>
      </c>
      <c r="M26" s="6">
        <f t="shared" si="3"/>
        <v>20.3</v>
      </c>
      <c r="N26">
        <f>IF(ROUND(K26,0)&lt;15,0,LOOKUP(ROUND(K26,0),{15,16,17,18,19,20,21,22,23,24,25,26,27,28,29,30,31,32},{0.07,0.09,0.11,0.14,0.18,0.22,0.28,0.36,0.46,0.58,0.75,0.97,1.26,1.65,2.2,3.02,4.33,6.87}))</f>
        <v>0.14000000000000001</v>
      </c>
      <c r="O26">
        <f>IF(ROUND(L26,0)&lt;15,0,LOOKUP(ROUND(L26,0),{15,16,17,18,19,20,21,22,23,24,25,26,27,28,29,30,31,32},{0.07,0.09,0.11,0.14,0.18,0.22,0.28,0.36,0.46,0.58,0.75,0.97,1.26,1.65,2.2,3.02,4.33,6.87}))</f>
        <v>0.14000000000000001</v>
      </c>
      <c r="P26">
        <f>IF(ROUND(M26,0)&lt;15,0,LOOKUP(ROUND(M26,0),{15,16,17,18,19,20,21,22,23,24,25,26,27,28,29,30,31,32},{0.07,0.09,0.11,0.14,0.18,0.22,0.28,0.36,0.46,0.58,0.75,0.97,1.26,1.65,2.2,3.02,4.33,6.87}))</f>
        <v>0.22</v>
      </c>
      <c r="Q26" s="8">
        <f t="shared" si="4"/>
        <v>18.240000000000002</v>
      </c>
      <c r="R26" s="8">
        <f t="shared" si="0"/>
        <v>18.440000000000001</v>
      </c>
      <c r="S26" s="8">
        <f t="shared" si="0"/>
        <v>20.52</v>
      </c>
    </row>
    <row r="27" spans="3:19">
      <c r="C27" t="s">
        <v>27</v>
      </c>
      <c r="D27" s="1" t="s">
        <v>21</v>
      </c>
      <c r="E27" s="6">
        <v>18.100000000000001</v>
      </c>
      <c r="F27">
        <v>0.1</v>
      </c>
      <c r="G27" s="7">
        <f>LOOKUP($I$2,{1,2,3,4,5,6,7,8},{0.4,0.4,0.5,0.5,0.5,0.5,0.3,0.4})</f>
        <v>0.3</v>
      </c>
      <c r="H27" s="7">
        <f>LOOKUP($I$2,{1,2,3,4,5,6,7,8},{2,2,1.5,1.5,1,1,1,1})</f>
        <v>1</v>
      </c>
      <c r="I27" s="6">
        <v>0.3</v>
      </c>
      <c r="J27" s="6">
        <v>2.2999999999999998</v>
      </c>
      <c r="K27" s="6">
        <f t="shared" si="1"/>
        <v>19.500000000000004</v>
      </c>
      <c r="L27" s="6">
        <f t="shared" si="2"/>
        <v>19.800000000000004</v>
      </c>
      <c r="M27" s="6">
        <f t="shared" si="3"/>
        <v>21.800000000000004</v>
      </c>
      <c r="N27">
        <f>IF(ROUND(K27,0)&lt;15,0,LOOKUP(ROUND(K27,0),{15,16,17,18,19,20,21,22,23,24,25,26,27,28,29,30,31,32},{0.07,0.09,0.11,0.14,0.18,0.22,0.28,0.36,0.46,0.58,0.75,0.97,1.26,1.65,2.2,3.02,4.33,6.87}))</f>
        <v>0.22</v>
      </c>
      <c r="O27">
        <f>IF(ROUND(L27,0)&lt;15,0,LOOKUP(ROUND(L27,0),{15,16,17,18,19,20,21,22,23,24,25,26,27,28,29,30,31,32},{0.07,0.09,0.11,0.14,0.18,0.22,0.28,0.36,0.46,0.58,0.75,0.97,1.26,1.65,2.2,3.02,4.33,6.87}))</f>
        <v>0.22</v>
      </c>
      <c r="P27">
        <f>IF(ROUND(M27,0)&lt;15,0,LOOKUP(ROUND(M27,0),{15,16,17,18,19,20,21,22,23,24,25,26,27,28,29,30,31,32},{0.07,0.09,0.11,0.14,0.18,0.22,0.28,0.36,0.46,0.58,0.75,0.97,1.26,1.65,2.2,3.02,4.33,6.87}))</f>
        <v>0.36</v>
      </c>
      <c r="Q27" s="8">
        <f t="shared" si="4"/>
        <v>19.720000000000002</v>
      </c>
      <c r="R27" s="8">
        <f t="shared" si="0"/>
        <v>20.020000000000003</v>
      </c>
      <c r="S27" s="8">
        <f t="shared" si="0"/>
        <v>22.160000000000004</v>
      </c>
    </row>
    <row r="28" spans="3:19">
      <c r="C28" t="s">
        <v>27</v>
      </c>
      <c r="D28" s="1" t="s">
        <v>22</v>
      </c>
      <c r="E28" s="6">
        <v>20</v>
      </c>
      <c r="F28">
        <v>0.1</v>
      </c>
      <c r="G28" s="7">
        <f>LOOKUP($I$2,{1,2,3,4,5,6,7,8},{0.4,0.4,0.5,0.5,0.5,0.5,0.3,0.4})</f>
        <v>0.3</v>
      </c>
      <c r="H28" s="7">
        <f>LOOKUP($I$2,{1,2,3,4,5,6,7,8},{2,2,1.5,1.5,1,1,1,1})</f>
        <v>1</v>
      </c>
      <c r="I28" s="6">
        <v>0.3</v>
      </c>
      <c r="J28" s="6">
        <v>2.6</v>
      </c>
      <c r="K28" s="6">
        <f t="shared" si="1"/>
        <v>21.400000000000002</v>
      </c>
      <c r="L28" s="6">
        <f t="shared" si="2"/>
        <v>21.700000000000003</v>
      </c>
      <c r="M28" s="6">
        <f t="shared" si="3"/>
        <v>24.000000000000004</v>
      </c>
      <c r="N28">
        <f>IF(ROUND(K28,0)&lt;15,0,LOOKUP(ROUND(K28,0),{15,16,17,18,19,20,21,22,23,24,25,26,27,28,29,30,31,32},{0.07,0.09,0.11,0.14,0.18,0.22,0.28,0.36,0.46,0.58,0.75,0.97,1.26,1.65,2.2,3.02,4.33,6.87}))</f>
        <v>0.28000000000000003</v>
      </c>
      <c r="O28">
        <f>IF(ROUND(L28,0)&lt;15,0,LOOKUP(ROUND(L28,0),{15,16,17,18,19,20,21,22,23,24,25,26,27,28,29,30,31,32},{0.07,0.09,0.11,0.14,0.18,0.22,0.28,0.36,0.46,0.58,0.75,0.97,1.26,1.65,2.2,3.02,4.33,6.87}))</f>
        <v>0.36</v>
      </c>
      <c r="P28">
        <f>IF(ROUND(M28,0)&lt;15,0,LOOKUP(ROUND(M28,0),{15,16,17,18,19,20,21,22,23,24,25,26,27,28,29,30,31,32},{0.07,0.09,0.11,0.14,0.18,0.22,0.28,0.36,0.46,0.58,0.75,0.97,1.26,1.65,2.2,3.02,4.33,6.87}))</f>
        <v>0.57999999999999996</v>
      </c>
      <c r="Q28" s="8">
        <f t="shared" si="4"/>
        <v>21.680000000000003</v>
      </c>
      <c r="R28" s="8">
        <f t="shared" si="0"/>
        <v>22.060000000000002</v>
      </c>
      <c r="S28" s="8">
        <f t="shared" si="0"/>
        <v>24.580000000000002</v>
      </c>
    </row>
    <row r="29" spans="3:19">
      <c r="C29" t="s">
        <v>27</v>
      </c>
      <c r="D29" s="1" t="s">
        <v>23</v>
      </c>
      <c r="E29" s="6">
        <v>21.3</v>
      </c>
      <c r="F29">
        <v>0.1</v>
      </c>
      <c r="G29" s="7">
        <f>LOOKUP($I$2,{1,2,3,4,5,6,7,8},{0.4,0.4,0.5,0.5,0.5,0.5,0.3,0.4})</f>
        <v>0.3</v>
      </c>
      <c r="H29" s="7">
        <f>LOOKUP($I$2,{1,2,3,4,5,6,7,8},{2,2,1.5,1.5,1,1,1,1})</f>
        <v>1</v>
      </c>
      <c r="I29" s="6">
        <v>0.4</v>
      </c>
      <c r="J29" s="6">
        <v>3</v>
      </c>
      <c r="K29" s="6">
        <f t="shared" si="1"/>
        <v>22.700000000000003</v>
      </c>
      <c r="L29" s="6">
        <f t="shared" si="2"/>
        <v>23.1</v>
      </c>
      <c r="M29" s="6">
        <f t="shared" si="3"/>
        <v>25.700000000000003</v>
      </c>
      <c r="N29">
        <f>IF(ROUND(K29,0)&lt;15,0,LOOKUP(ROUND(K29,0),{15,16,17,18,19,20,21,22,23,24,25,26,27,28,29,30,31,32},{0.07,0.09,0.11,0.14,0.18,0.22,0.28,0.36,0.46,0.58,0.75,0.97,1.26,1.65,2.2,3.02,4.33,6.87}))</f>
        <v>0.46</v>
      </c>
      <c r="O29">
        <f>IF(ROUND(L29,0)&lt;15,0,LOOKUP(ROUND(L29,0),{15,16,17,18,19,20,21,22,23,24,25,26,27,28,29,30,31,32},{0.07,0.09,0.11,0.14,0.18,0.22,0.28,0.36,0.46,0.58,0.75,0.97,1.26,1.65,2.2,3.02,4.33,6.87}))</f>
        <v>0.46</v>
      </c>
      <c r="P29">
        <f>IF(ROUND(M29,0)&lt;15,0,LOOKUP(ROUND(M29,0),{15,16,17,18,19,20,21,22,23,24,25,26,27,28,29,30,31,32},{0.07,0.09,0.11,0.14,0.18,0.22,0.28,0.36,0.46,0.58,0.75,0.97,1.26,1.65,2.2,3.02,4.33,6.87}))</f>
        <v>0.97</v>
      </c>
      <c r="Q29" s="8">
        <f t="shared" si="4"/>
        <v>23.160000000000004</v>
      </c>
      <c r="R29" s="8">
        <f t="shared" si="0"/>
        <v>23.560000000000002</v>
      </c>
      <c r="S29" s="8">
        <f t="shared" si="0"/>
        <v>26.67</v>
      </c>
    </row>
    <row r="30" spans="3:19">
      <c r="C30" t="s">
        <v>27</v>
      </c>
      <c r="D30" s="1" t="s">
        <v>24</v>
      </c>
      <c r="E30" s="6">
        <v>22</v>
      </c>
      <c r="F30">
        <v>0.1</v>
      </c>
      <c r="G30" s="7">
        <f>LOOKUP($I$2,{1,2,3,4,5,6,7,8},{0.4,0.4,0.5,0.5,0.5,0.5,0.3,0.4})</f>
        <v>0.3</v>
      </c>
      <c r="H30" s="7">
        <f>LOOKUP($I$2,{1,2,3,4,5,6,7,8},{2,2,1.5,1.5,1,1,1,1})</f>
        <v>1</v>
      </c>
      <c r="I30" s="6">
        <v>0.4</v>
      </c>
      <c r="J30" s="6">
        <v>3.4</v>
      </c>
      <c r="K30" s="6">
        <f t="shared" si="1"/>
        <v>23.400000000000002</v>
      </c>
      <c r="L30" s="6">
        <f t="shared" si="2"/>
        <v>23.8</v>
      </c>
      <c r="M30" s="6">
        <f t="shared" si="3"/>
        <v>26.8</v>
      </c>
      <c r="N30">
        <f>IF(ROUND(K30,0)&lt;15,0,LOOKUP(ROUND(K30,0),{15,16,17,18,19,20,21,22,23,24,25,26,27,28,29,30,31,32},{0.07,0.09,0.11,0.14,0.18,0.22,0.28,0.36,0.46,0.58,0.75,0.97,1.26,1.65,2.2,3.02,4.33,6.87}))</f>
        <v>0.46</v>
      </c>
      <c r="O30">
        <f>IF(ROUND(L30,0)&lt;15,0,LOOKUP(ROUND(L30,0),{15,16,17,18,19,20,21,22,23,24,25,26,27,28,29,30,31,32},{0.07,0.09,0.11,0.14,0.18,0.22,0.28,0.36,0.46,0.58,0.75,0.97,1.26,1.65,2.2,3.02,4.33,6.87}))</f>
        <v>0.57999999999999996</v>
      </c>
      <c r="P30">
        <f>IF(ROUND(M30,0)&lt;15,0,LOOKUP(ROUND(M30,0),{15,16,17,18,19,20,21,22,23,24,25,26,27,28,29,30,31,32},{0.07,0.09,0.11,0.14,0.18,0.22,0.28,0.36,0.46,0.58,0.75,0.97,1.26,1.65,2.2,3.02,4.33,6.87}))</f>
        <v>1.26</v>
      </c>
      <c r="Q30" s="8">
        <f t="shared" si="4"/>
        <v>23.860000000000003</v>
      </c>
      <c r="R30" s="8">
        <f t="shared" si="0"/>
        <v>24.38</v>
      </c>
      <c r="S30" s="8">
        <f t="shared" si="0"/>
        <v>28.060000000000002</v>
      </c>
    </row>
    <row r="34" spans="10:10">
      <c r="J34" s="6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U63"/>
  <sheetViews>
    <sheetView tabSelected="1" zoomScale="90" zoomScaleNormal="90" workbookViewId="0">
      <selection activeCell="D3" sqref="D3:H7"/>
    </sheetView>
  </sheetViews>
  <sheetFormatPr defaultColWidth="8.875" defaultRowHeight="14.25"/>
  <cols>
    <col min="1" max="1" width="5.875" style="16" customWidth="1"/>
    <col min="2" max="2" width="45.5" customWidth="1"/>
    <col min="3" max="3" width="10.25" customWidth="1"/>
    <col min="4" max="4" width="8.375" style="16" customWidth="1"/>
    <col min="5" max="7" width="14.75" style="16" customWidth="1"/>
    <col min="8" max="8" width="46" style="28" customWidth="1"/>
    <col min="9" max="9" width="24.125" style="33" customWidth="1"/>
    <col min="10" max="10" width="27.5" style="33" customWidth="1"/>
    <col min="11" max="11" width="8.875" style="18" customWidth="1"/>
    <col min="14" max="14" width="25.5" bestFit="1" customWidth="1"/>
  </cols>
  <sheetData>
    <row r="1" spans="1:13" ht="96" customHeight="1">
      <c r="A1" s="67"/>
      <c r="B1" s="111" t="s">
        <v>107</v>
      </c>
      <c r="C1" s="111"/>
      <c r="D1" s="111"/>
      <c r="E1" s="111"/>
      <c r="F1" s="111"/>
      <c r="G1" s="111"/>
      <c r="H1" s="111"/>
      <c r="K1" s="22"/>
    </row>
    <row r="2" spans="1:13" ht="44.25" customHeight="1">
      <c r="A2" s="68"/>
      <c r="B2" s="112" t="s">
        <v>106</v>
      </c>
      <c r="C2" s="112"/>
      <c r="D2" s="112"/>
      <c r="E2" s="112"/>
      <c r="F2" s="112"/>
      <c r="G2" s="112"/>
      <c r="H2" s="112"/>
      <c r="K2" s="22"/>
    </row>
    <row r="3" spans="1:13" ht="21.75" customHeight="1">
      <c r="A3" s="69"/>
      <c r="B3" s="101" t="s">
        <v>58</v>
      </c>
      <c r="C3" s="105">
        <v>7</v>
      </c>
      <c r="D3" s="113" t="s">
        <v>132</v>
      </c>
      <c r="E3" s="114"/>
      <c r="F3" s="114"/>
      <c r="G3" s="114"/>
      <c r="H3" s="114"/>
      <c r="K3" s="22"/>
    </row>
    <row r="4" spans="1:13" ht="21.75" customHeight="1">
      <c r="A4" s="69"/>
      <c r="B4" s="101" t="s">
        <v>2</v>
      </c>
      <c r="C4" s="105" t="s">
        <v>27</v>
      </c>
      <c r="D4" s="113"/>
      <c r="E4" s="114"/>
      <c r="F4" s="114"/>
      <c r="G4" s="114"/>
      <c r="H4" s="114"/>
      <c r="K4" s="23"/>
    </row>
    <row r="5" spans="1:13" ht="21.75" customHeight="1">
      <c r="A5" s="69"/>
      <c r="B5" s="101" t="s">
        <v>57</v>
      </c>
      <c r="C5" s="105" t="s">
        <v>23</v>
      </c>
      <c r="D5" s="113"/>
      <c r="E5" s="114"/>
      <c r="F5" s="114"/>
      <c r="G5" s="114"/>
      <c r="H5" s="114"/>
      <c r="K5" s="23"/>
    </row>
    <row r="6" spans="1:13" ht="21.75" customHeight="1">
      <c r="A6" s="69"/>
      <c r="B6" s="102" t="s">
        <v>130</v>
      </c>
      <c r="C6" s="105">
        <v>514</v>
      </c>
      <c r="D6" s="113"/>
      <c r="E6" s="114"/>
      <c r="F6" s="114"/>
      <c r="G6" s="114"/>
      <c r="H6" s="114"/>
      <c r="K6" s="23"/>
    </row>
    <row r="7" spans="1:13" ht="21.75" customHeight="1">
      <c r="A7" s="69"/>
      <c r="B7" s="102" t="s">
        <v>105</v>
      </c>
      <c r="C7" s="106">
        <v>7.61</v>
      </c>
      <c r="D7" s="113"/>
      <c r="E7" s="114"/>
      <c r="F7" s="114"/>
      <c r="G7" s="114"/>
      <c r="H7" s="114"/>
      <c r="K7" s="23"/>
    </row>
    <row r="8" spans="1:13" ht="18.75">
      <c r="A8" s="70"/>
      <c r="B8" s="40"/>
      <c r="C8" s="40"/>
      <c r="D8" s="41"/>
      <c r="E8" s="42"/>
      <c r="F8" s="42"/>
      <c r="G8" s="42"/>
      <c r="H8" s="43"/>
      <c r="K8" s="24"/>
    </row>
    <row r="9" spans="1:13" ht="18.75">
      <c r="A9" s="108" t="s">
        <v>124</v>
      </c>
      <c r="B9" s="108" t="s">
        <v>102</v>
      </c>
      <c r="C9" s="115" t="s">
        <v>103</v>
      </c>
      <c r="D9" s="115" t="s">
        <v>43</v>
      </c>
      <c r="E9" s="108" t="s">
        <v>104</v>
      </c>
      <c r="F9" s="108"/>
      <c r="G9" s="108"/>
      <c r="H9" s="109" t="s">
        <v>121</v>
      </c>
      <c r="K9"/>
    </row>
    <row r="10" spans="1:13" ht="18.75">
      <c r="A10" s="108"/>
      <c r="B10" s="108"/>
      <c r="C10" s="115"/>
      <c r="D10" s="115"/>
      <c r="E10" s="44" t="s">
        <v>44</v>
      </c>
      <c r="F10" s="44" t="s">
        <v>45</v>
      </c>
      <c r="G10" s="44" t="s">
        <v>46</v>
      </c>
      <c r="H10" s="110"/>
      <c r="K10"/>
    </row>
    <row r="11" spans="1:13" ht="22.5" customHeight="1">
      <c r="A11" s="71">
        <v>1</v>
      </c>
      <c r="B11" s="63" t="s">
        <v>59</v>
      </c>
      <c r="C11" s="45" t="s">
        <v>83</v>
      </c>
      <c r="D11" s="45" t="s">
        <v>47</v>
      </c>
      <c r="E11" s="46">
        <v>650</v>
      </c>
      <c r="F11" s="46">
        <v>650</v>
      </c>
      <c r="G11" s="46">
        <v>650</v>
      </c>
      <c r="H11" s="34"/>
      <c r="K11"/>
    </row>
    <row r="12" spans="1:13" ht="43.5" customHeight="1">
      <c r="A12" s="76">
        <f>A11+1</f>
        <v>2</v>
      </c>
      <c r="B12" s="77" t="s">
        <v>60</v>
      </c>
      <c r="C12" s="78" t="s">
        <v>48</v>
      </c>
      <c r="D12" s="78" t="s">
        <v>49</v>
      </c>
      <c r="E12" s="79">
        <f t="array" ref="E12">INDEX(Rice,MATCH(1,IF(Constellation=C4,IF(CodeRate=C5,1,)),0))</f>
        <v>23.560000000000002</v>
      </c>
      <c r="F12" s="79">
        <f t="array" ref="F12">INDEX(Ray,MATCH(1,IF(Constellation=C4,IF(CodeRate=C5,1,)),0))</f>
        <v>26.67</v>
      </c>
      <c r="G12" s="79">
        <f t="array" ref="G12">INDEX(Ray,MATCH(1,IF(Constellation=C4,IF(CodeRate=C5,1,)),0))</f>
        <v>26.67</v>
      </c>
      <c r="H12" s="100" t="s">
        <v>122</v>
      </c>
      <c r="K12"/>
    </row>
    <row r="13" spans="1:13" ht="26.25" customHeight="1">
      <c r="A13" s="71">
        <f>A12+1</f>
        <v>3</v>
      </c>
      <c r="B13" s="63" t="s">
        <v>61</v>
      </c>
      <c r="C13" s="45" t="s">
        <v>50</v>
      </c>
      <c r="D13" s="45" t="s">
        <v>49</v>
      </c>
      <c r="E13" s="46">
        <v>6</v>
      </c>
      <c r="F13" s="46">
        <v>6</v>
      </c>
      <c r="G13" s="46">
        <v>6</v>
      </c>
      <c r="H13" s="34"/>
      <c r="K13" s="19"/>
      <c r="L13" s="21"/>
    </row>
    <row r="14" spans="1:13" ht="26.25" customHeight="1">
      <c r="A14" s="71">
        <f t="shared" ref="A14:A17" si="0">A13+1</f>
        <v>4</v>
      </c>
      <c r="B14" s="63" t="s">
        <v>62</v>
      </c>
      <c r="C14" s="45" t="s">
        <v>5</v>
      </c>
      <c r="D14" s="45" t="s">
        <v>47</v>
      </c>
      <c r="E14" s="46">
        <f>C7</f>
        <v>7.61</v>
      </c>
      <c r="F14" s="46">
        <f>C7</f>
        <v>7.61</v>
      </c>
      <c r="G14" s="46">
        <f>C7</f>
        <v>7.61</v>
      </c>
      <c r="H14" s="35"/>
      <c r="K14"/>
      <c r="M14" s="17"/>
    </row>
    <row r="15" spans="1:13" ht="43.5" customHeight="1">
      <c r="A15" s="71">
        <f t="shared" si="0"/>
        <v>5</v>
      </c>
      <c r="B15" s="63" t="s">
        <v>63</v>
      </c>
      <c r="C15" s="45" t="s">
        <v>84</v>
      </c>
      <c r="D15" s="45" t="s">
        <v>51</v>
      </c>
      <c r="E15" s="47">
        <f>E13+10*LOG10(1.38*(10^-23)*290*E14*10^6)</f>
        <v>-129.16338258929235</v>
      </c>
      <c r="F15" s="47">
        <f t="shared" ref="F15:G15" si="1">F13+10*LOG10(1.38*(10^-23)*290*F14*10^6)</f>
        <v>-129.16338258929235</v>
      </c>
      <c r="G15" s="47">
        <f t="shared" si="1"/>
        <v>-129.16338258929235</v>
      </c>
      <c r="H15" s="98" t="s">
        <v>108</v>
      </c>
      <c r="K15"/>
    </row>
    <row r="16" spans="1:13" ht="43.5" customHeight="1">
      <c r="A16" s="71">
        <f t="shared" si="0"/>
        <v>6</v>
      </c>
      <c r="B16" s="63" t="s">
        <v>64</v>
      </c>
      <c r="C16" s="45" t="s">
        <v>85</v>
      </c>
      <c r="D16" s="45" t="s">
        <v>52</v>
      </c>
      <c r="E16" s="48">
        <f>E15+E12</f>
        <v>-105.60338258929235</v>
      </c>
      <c r="F16" s="48">
        <f>F15+F12</f>
        <v>-102.49338258929235</v>
      </c>
      <c r="G16" s="47">
        <f>G15+G12</f>
        <v>-102.49338258929235</v>
      </c>
      <c r="H16" s="98" t="s">
        <v>109</v>
      </c>
      <c r="K16"/>
      <c r="M16" s="17"/>
    </row>
    <row r="17" spans="1:14" ht="43.5" customHeight="1">
      <c r="A17" s="71">
        <f t="shared" si="0"/>
        <v>7</v>
      </c>
      <c r="B17" s="63" t="s">
        <v>65</v>
      </c>
      <c r="C17" s="45" t="s">
        <v>99</v>
      </c>
      <c r="D17" s="45" t="s">
        <v>100</v>
      </c>
      <c r="E17" s="49">
        <f>E16+120+(10*LOG10(75))</f>
        <v>33.147230044624649</v>
      </c>
      <c r="F17" s="50">
        <f>F16+120+(10*LOG10(75))</f>
        <v>36.257230044624649</v>
      </c>
      <c r="G17" s="50">
        <f>G16+120+(10*LOG10(75))</f>
        <v>36.257230044624649</v>
      </c>
      <c r="H17" s="98" t="s">
        <v>110</v>
      </c>
      <c r="K17" s="31"/>
    </row>
    <row r="18" spans="1:14" ht="21">
      <c r="A18" s="72"/>
      <c r="B18" s="64"/>
      <c r="C18" s="51"/>
      <c r="D18" s="51"/>
      <c r="E18" s="52"/>
      <c r="F18" s="52"/>
      <c r="G18" s="52"/>
      <c r="H18" s="27"/>
      <c r="K18" s="30"/>
    </row>
    <row r="19" spans="1:14" ht="28.5" customHeight="1">
      <c r="A19" s="71">
        <v>8</v>
      </c>
      <c r="B19" s="63" t="s">
        <v>66</v>
      </c>
      <c r="C19" s="45" t="s">
        <v>86</v>
      </c>
      <c r="D19" s="45" t="s">
        <v>49</v>
      </c>
      <c r="E19" s="50">
        <v>4</v>
      </c>
      <c r="F19" s="46">
        <v>0</v>
      </c>
      <c r="G19" s="46">
        <v>0</v>
      </c>
      <c r="H19" s="34"/>
      <c r="K19" s="30"/>
    </row>
    <row r="20" spans="1:14" ht="42.75" customHeight="1">
      <c r="A20" s="71">
        <f t="shared" ref="A20:A28" si="2">A19+1</f>
        <v>9</v>
      </c>
      <c r="B20" s="63" t="s">
        <v>67</v>
      </c>
      <c r="C20" s="45" t="s">
        <v>87</v>
      </c>
      <c r="D20" s="45" t="s">
        <v>49</v>
      </c>
      <c r="E20" s="53">
        <v>11</v>
      </c>
      <c r="F20" s="46">
        <v>0</v>
      </c>
      <c r="G20" s="46">
        <v>0</v>
      </c>
      <c r="H20" s="34"/>
      <c r="K20" s="30"/>
    </row>
    <row r="21" spans="1:14" ht="29.25" customHeight="1">
      <c r="A21" s="71">
        <f t="shared" si="2"/>
        <v>10</v>
      </c>
      <c r="B21" s="63" t="s">
        <v>68</v>
      </c>
      <c r="C21" s="45" t="s">
        <v>88</v>
      </c>
      <c r="D21" s="45" t="s">
        <v>101</v>
      </c>
      <c r="E21" s="54">
        <f>E20-15.57</f>
        <v>-4.57</v>
      </c>
      <c r="F21" s="54">
        <f>F20-15.57</f>
        <v>-15.57</v>
      </c>
      <c r="G21" s="54">
        <f>G20-15.57</f>
        <v>-15.57</v>
      </c>
      <c r="H21" s="37" t="s">
        <v>111</v>
      </c>
      <c r="K21"/>
    </row>
    <row r="22" spans="1:14" ht="45.75" customHeight="1">
      <c r="A22" s="71">
        <f t="shared" si="2"/>
        <v>11</v>
      </c>
      <c r="B22" s="63" t="s">
        <v>69</v>
      </c>
      <c r="C22" s="55" t="s">
        <v>89</v>
      </c>
      <c r="D22" s="45" t="s">
        <v>97</v>
      </c>
      <c r="E22" s="56">
        <f>E16-E21+E19</f>
        <v>-97.033382589292358</v>
      </c>
      <c r="F22" s="56">
        <f>F16-F21+F19</f>
        <v>-86.923382589292345</v>
      </c>
      <c r="G22" s="56">
        <f>G16-G21+G19</f>
        <v>-86.923382589292345</v>
      </c>
      <c r="H22" s="38" t="s">
        <v>112</v>
      </c>
      <c r="K22"/>
    </row>
    <row r="23" spans="1:14" ht="45.75" customHeight="1">
      <c r="A23" s="71">
        <f t="shared" si="2"/>
        <v>12</v>
      </c>
      <c r="B23" s="63" t="s">
        <v>70</v>
      </c>
      <c r="C23" s="45" t="s">
        <v>90</v>
      </c>
      <c r="D23" s="45" t="s">
        <v>53</v>
      </c>
      <c r="E23" s="56">
        <f>E22+145.8</f>
        <v>48.766617410707653</v>
      </c>
      <c r="F23" s="56">
        <f>F22+145.8</f>
        <v>58.876617410707667</v>
      </c>
      <c r="G23" s="56">
        <f>G22+145.8</f>
        <v>58.876617410707667</v>
      </c>
      <c r="H23" s="36" t="s">
        <v>113</v>
      </c>
      <c r="K23"/>
      <c r="M23" s="3"/>
      <c r="N23" s="20"/>
    </row>
    <row r="24" spans="1:14" ht="45.75" customHeight="1">
      <c r="A24" s="71">
        <f t="shared" si="2"/>
        <v>13</v>
      </c>
      <c r="B24" s="63" t="s">
        <v>71</v>
      </c>
      <c r="C24" s="45" t="s">
        <v>91</v>
      </c>
      <c r="D24" s="45" t="s">
        <v>49</v>
      </c>
      <c r="E24" s="46">
        <v>0</v>
      </c>
      <c r="F24" s="50">
        <v>1</v>
      </c>
      <c r="G24" s="46">
        <v>1</v>
      </c>
      <c r="H24" s="34"/>
      <c r="K24"/>
      <c r="M24" s="20"/>
      <c r="N24" s="20"/>
    </row>
    <row r="25" spans="1:14" ht="45.75" customHeight="1">
      <c r="A25" s="71">
        <f t="shared" si="2"/>
        <v>14</v>
      </c>
      <c r="B25" s="63" t="s">
        <v>72</v>
      </c>
      <c r="C25" s="45" t="s">
        <v>82</v>
      </c>
      <c r="D25" s="45" t="s">
        <v>92</v>
      </c>
      <c r="E25" s="46">
        <v>10</v>
      </c>
      <c r="F25" s="46">
        <v>1.5</v>
      </c>
      <c r="G25" s="46">
        <v>1.5</v>
      </c>
      <c r="H25" s="34"/>
      <c r="K25"/>
      <c r="M25" s="20"/>
      <c r="N25" s="20"/>
    </row>
    <row r="26" spans="1:14" ht="45.75" customHeight="1">
      <c r="A26" s="71">
        <f t="shared" si="2"/>
        <v>15</v>
      </c>
      <c r="B26" s="63" t="s">
        <v>73</v>
      </c>
      <c r="C26" s="45" t="s">
        <v>93</v>
      </c>
      <c r="D26" s="45" t="s">
        <v>49</v>
      </c>
      <c r="E26" s="46">
        <v>0</v>
      </c>
      <c r="F26" s="104">
        <v>16.5</v>
      </c>
      <c r="G26" s="104">
        <v>17</v>
      </c>
      <c r="H26" s="62" t="s">
        <v>123</v>
      </c>
      <c r="K26"/>
    </row>
    <row r="27" spans="1:14" ht="45.75" customHeight="1">
      <c r="A27" s="71">
        <f t="shared" si="2"/>
        <v>16</v>
      </c>
      <c r="B27" s="63" t="s">
        <v>74</v>
      </c>
      <c r="C27" s="45" t="s">
        <v>94</v>
      </c>
      <c r="D27" s="45" t="s">
        <v>49</v>
      </c>
      <c r="E27" s="46">
        <v>0</v>
      </c>
      <c r="F27" s="46">
        <v>0</v>
      </c>
      <c r="G27" s="46">
        <v>11</v>
      </c>
      <c r="H27" s="34"/>
      <c r="K27"/>
    </row>
    <row r="28" spans="1:14" ht="45.75" customHeight="1">
      <c r="A28" s="71">
        <f t="shared" si="2"/>
        <v>17</v>
      </c>
      <c r="B28" s="63" t="s">
        <v>75</v>
      </c>
      <c r="C28" s="45" t="s">
        <v>82</v>
      </c>
      <c r="D28" s="45" t="s">
        <v>49</v>
      </c>
      <c r="E28" s="46">
        <v>0</v>
      </c>
      <c r="F28" s="46">
        <v>0</v>
      </c>
      <c r="G28" s="46">
        <v>6</v>
      </c>
      <c r="H28" s="34"/>
      <c r="K28"/>
    </row>
    <row r="29" spans="1:14" ht="18.75">
      <c r="A29" s="72"/>
      <c r="B29" s="64"/>
      <c r="C29" s="51"/>
      <c r="D29" s="51"/>
      <c r="E29" s="52"/>
      <c r="F29" s="52"/>
      <c r="G29" s="52"/>
      <c r="H29" s="27"/>
      <c r="K29"/>
    </row>
    <row r="30" spans="1:14" ht="46.5" customHeight="1">
      <c r="A30" s="73">
        <v>18</v>
      </c>
      <c r="B30" s="63" t="s">
        <v>76</v>
      </c>
      <c r="C30" s="57" t="s">
        <v>82</v>
      </c>
      <c r="D30" s="57" t="s">
        <v>54</v>
      </c>
      <c r="E30" s="46">
        <v>95</v>
      </c>
      <c r="F30" s="46">
        <v>95</v>
      </c>
      <c r="G30" s="46">
        <v>95</v>
      </c>
      <c r="H30" s="34"/>
      <c r="K30"/>
    </row>
    <row r="31" spans="1:14" ht="33" customHeight="1">
      <c r="A31" s="73">
        <f t="shared" ref="A31:A37" si="3">A30+1</f>
        <v>19</v>
      </c>
      <c r="B31" s="66" t="s">
        <v>77</v>
      </c>
      <c r="C31" s="58" t="s">
        <v>55</v>
      </c>
      <c r="D31" s="58" t="s">
        <v>82</v>
      </c>
      <c r="E31" s="59">
        <v>1.64</v>
      </c>
      <c r="F31" s="59">
        <v>1.64</v>
      </c>
      <c r="G31" s="59">
        <v>1.64</v>
      </c>
      <c r="H31" s="39"/>
      <c r="K31"/>
    </row>
    <row r="32" spans="1:14" ht="33" customHeight="1">
      <c r="A32" s="73">
        <f t="shared" si="3"/>
        <v>20</v>
      </c>
      <c r="B32" s="65" t="s">
        <v>78</v>
      </c>
      <c r="C32" s="55" t="s">
        <v>56</v>
      </c>
      <c r="D32" s="45" t="s">
        <v>82</v>
      </c>
      <c r="E32" s="46">
        <v>5.5</v>
      </c>
      <c r="F32" s="46">
        <v>5.5</v>
      </c>
      <c r="G32" s="46">
        <v>8.1</v>
      </c>
      <c r="H32" s="34"/>
      <c r="K32"/>
    </row>
    <row r="33" spans="1:21" ht="33" customHeight="1">
      <c r="A33" s="73">
        <f t="shared" si="3"/>
        <v>21</v>
      </c>
      <c r="B33" s="65" t="s">
        <v>79</v>
      </c>
      <c r="C33" s="45" t="s">
        <v>95</v>
      </c>
      <c r="D33" s="45" t="s">
        <v>49</v>
      </c>
      <c r="E33" s="60">
        <f>E31*E32</f>
        <v>9.02</v>
      </c>
      <c r="F33" s="60">
        <f t="shared" ref="F33:G33" si="4">F31*F32</f>
        <v>9.02</v>
      </c>
      <c r="G33" s="60">
        <f t="shared" si="4"/>
        <v>13.283999999999999</v>
      </c>
      <c r="H33" s="98" t="s">
        <v>114</v>
      </c>
      <c r="K33"/>
    </row>
    <row r="34" spans="1:21" ht="78.75" customHeight="1">
      <c r="A34" s="73">
        <f t="shared" si="3"/>
        <v>22</v>
      </c>
      <c r="B34" s="63" t="s">
        <v>80</v>
      </c>
      <c r="C34" s="55" t="s">
        <v>96</v>
      </c>
      <c r="D34" s="45" t="s">
        <v>97</v>
      </c>
      <c r="E34" s="61">
        <f>E22+E24+E33+E26+E27</f>
        <v>-88.013382589292362</v>
      </c>
      <c r="F34" s="61">
        <f t="shared" ref="F34:G34" si="5">F22+F24+F33+F26+F27</f>
        <v>-60.403382589292349</v>
      </c>
      <c r="G34" s="61">
        <f t="shared" si="5"/>
        <v>-44.639382589292353</v>
      </c>
      <c r="H34" s="99" t="s">
        <v>115</v>
      </c>
      <c r="K34"/>
    </row>
    <row r="35" spans="1:21" ht="80.25" customHeight="1">
      <c r="A35" s="76">
        <f t="shared" si="3"/>
        <v>23</v>
      </c>
      <c r="B35" s="80" t="s">
        <v>81</v>
      </c>
      <c r="C35" s="78" t="s">
        <v>98</v>
      </c>
      <c r="D35" s="78" t="s">
        <v>53</v>
      </c>
      <c r="E35" s="81">
        <f>E34+145.8</f>
        <v>57.786617410707649</v>
      </c>
      <c r="F35" s="81">
        <f>F34+145.8</f>
        <v>85.396617410707663</v>
      </c>
      <c r="G35" s="81">
        <f t="shared" ref="G35" si="6">G34+145.8</f>
        <v>101.16061741070766</v>
      </c>
      <c r="H35" s="82" t="s">
        <v>126</v>
      </c>
      <c r="K35"/>
    </row>
    <row r="36" spans="1:21" s="32" customFormat="1" ht="35.25" customHeight="1">
      <c r="A36" s="74">
        <f t="shared" si="3"/>
        <v>24</v>
      </c>
      <c r="B36" s="75" t="s">
        <v>131</v>
      </c>
      <c r="C36" s="74" t="s">
        <v>125</v>
      </c>
      <c r="D36" s="74" t="s">
        <v>47</v>
      </c>
      <c r="E36" s="84">
        <f>$C$6</f>
        <v>514</v>
      </c>
      <c r="F36" s="84">
        <f t="shared" ref="F36:G36" si="7">$C$6</f>
        <v>514</v>
      </c>
      <c r="G36" s="84">
        <f t="shared" si="7"/>
        <v>514</v>
      </c>
      <c r="H36" s="36"/>
      <c r="I36" s="33"/>
      <c r="J36" s="33"/>
    </row>
    <row r="37" spans="1:21" ht="63.75" customHeight="1">
      <c r="A37" s="76">
        <f t="shared" si="3"/>
        <v>25</v>
      </c>
      <c r="B37" s="103" t="s">
        <v>127</v>
      </c>
      <c r="C37" s="78" t="s">
        <v>128</v>
      </c>
      <c r="D37" s="78" t="s">
        <v>53</v>
      </c>
      <c r="E37" s="83">
        <f>E35+20*LOG(E36/650)</f>
        <v>55.747612657756051</v>
      </c>
      <c r="F37" s="83">
        <f>F35+30*LOG(F36/650)</f>
        <v>82.338110281280265</v>
      </c>
      <c r="G37" s="83">
        <f>G35+30*LOG(G36/650)</f>
        <v>98.102110281280261</v>
      </c>
      <c r="H37" s="82" t="s">
        <v>129</v>
      </c>
      <c r="K37" s="22"/>
    </row>
    <row r="38" spans="1:21" ht="15" customHeight="1">
      <c r="A38" s="85"/>
      <c r="B38" s="86"/>
      <c r="C38" s="86"/>
      <c r="D38" s="85"/>
      <c r="E38" s="85"/>
      <c r="F38" s="85"/>
      <c r="G38" s="85"/>
      <c r="H38" s="87"/>
      <c r="K38" s="22"/>
    </row>
    <row r="39" spans="1:21" ht="23.25" customHeight="1">
      <c r="A39" s="85"/>
      <c r="B39" s="88" t="s">
        <v>120</v>
      </c>
      <c r="C39" s="86"/>
      <c r="D39" s="85"/>
      <c r="E39" s="85"/>
      <c r="F39" s="85"/>
      <c r="G39" s="85"/>
      <c r="H39" s="87"/>
      <c r="K39" s="22"/>
    </row>
    <row r="40" spans="1:21" ht="23.25" customHeight="1">
      <c r="A40" s="85"/>
      <c r="B40" s="89" t="s">
        <v>117</v>
      </c>
      <c r="C40" s="86"/>
      <c r="D40" s="85"/>
      <c r="E40" s="85"/>
      <c r="F40" s="85"/>
      <c r="G40" s="85"/>
      <c r="H40" s="87"/>
      <c r="K40" s="22"/>
    </row>
    <row r="41" spans="1:21" ht="23.25" customHeight="1">
      <c r="A41" s="85"/>
      <c r="B41" s="89" t="s">
        <v>118</v>
      </c>
      <c r="C41" s="86"/>
      <c r="D41" s="85"/>
      <c r="E41" s="85"/>
      <c r="F41" s="85"/>
      <c r="G41" s="85"/>
      <c r="H41" s="87"/>
      <c r="K41" s="25"/>
      <c r="L41" s="3"/>
      <c r="M41" s="3"/>
      <c r="N41" s="3"/>
      <c r="O41" s="3"/>
      <c r="P41" s="3"/>
      <c r="Q41" s="3"/>
      <c r="R41" s="3"/>
      <c r="S41" s="5"/>
      <c r="T41" s="5"/>
      <c r="U41" s="5"/>
    </row>
    <row r="42" spans="1:21" ht="23.25" customHeight="1">
      <c r="A42" s="85"/>
      <c r="B42" s="89" t="s">
        <v>119</v>
      </c>
      <c r="C42" s="86"/>
      <c r="D42" s="85"/>
      <c r="E42" s="90"/>
      <c r="F42" s="85"/>
      <c r="G42" s="85"/>
      <c r="H42" s="87"/>
      <c r="K42" s="26"/>
      <c r="L42" s="6"/>
      <c r="M42" s="6"/>
      <c r="N42" s="6"/>
      <c r="O42" s="6"/>
      <c r="S42" s="8"/>
      <c r="T42" s="8"/>
      <c r="U42" s="8"/>
    </row>
    <row r="43" spans="1:21" ht="23.25" customHeight="1">
      <c r="A43" s="85"/>
      <c r="B43" s="91" t="s">
        <v>116</v>
      </c>
      <c r="C43" s="86"/>
      <c r="D43" s="85"/>
      <c r="E43" s="90"/>
      <c r="F43" s="85"/>
      <c r="G43" s="85"/>
      <c r="H43" s="87"/>
      <c r="K43" s="26"/>
      <c r="L43" s="6"/>
      <c r="M43" s="6"/>
      <c r="N43" s="6"/>
      <c r="O43" s="6"/>
      <c r="S43" s="8"/>
      <c r="T43" s="8"/>
      <c r="U43" s="8"/>
    </row>
    <row r="44" spans="1:21">
      <c r="A44" s="85"/>
      <c r="B44" s="86"/>
      <c r="C44" s="86"/>
      <c r="D44" s="86"/>
      <c r="E44" s="92"/>
      <c r="F44" s="93"/>
      <c r="G44" s="86"/>
      <c r="H44" s="94"/>
      <c r="K44" s="6"/>
      <c r="L44" s="6"/>
      <c r="M44" s="6"/>
      <c r="N44" s="6"/>
      <c r="O44" s="6"/>
      <c r="S44" s="8"/>
      <c r="T44" s="8"/>
      <c r="U44" s="8"/>
    </row>
    <row r="45" spans="1:21">
      <c r="A45" s="95"/>
      <c r="B45" s="32"/>
      <c r="C45" s="32"/>
      <c r="D45" s="32"/>
      <c r="E45" s="96"/>
      <c r="F45" s="97"/>
      <c r="G45" s="32"/>
      <c r="H45" s="29"/>
      <c r="K45" s="6"/>
      <c r="L45" s="6"/>
      <c r="M45" s="6"/>
      <c r="N45" s="6"/>
      <c r="O45" s="6"/>
      <c r="S45" s="8"/>
      <c r="T45" s="8"/>
      <c r="U45" s="8"/>
    </row>
    <row r="46" spans="1:21">
      <c r="A46" s="95"/>
      <c r="B46" s="32"/>
      <c r="C46" s="32"/>
      <c r="D46" s="32"/>
      <c r="E46" s="96"/>
      <c r="F46" s="97"/>
      <c r="G46" s="32"/>
      <c r="H46" s="29"/>
      <c r="K46" s="6"/>
      <c r="L46" s="6"/>
      <c r="M46" s="6"/>
      <c r="N46" s="6"/>
      <c r="O46" s="6"/>
      <c r="S46" s="8"/>
      <c r="T46" s="8"/>
      <c r="U46" s="8"/>
    </row>
    <row r="47" spans="1:21">
      <c r="A47" s="95"/>
      <c r="B47" s="32"/>
      <c r="C47" s="32"/>
      <c r="D47" s="32"/>
      <c r="E47" s="96"/>
      <c r="F47" s="97"/>
      <c r="G47" s="32"/>
      <c r="H47" s="29"/>
      <c r="K47" s="6"/>
      <c r="L47" s="6"/>
      <c r="M47" s="6"/>
      <c r="N47" s="6"/>
      <c r="O47" s="6"/>
      <c r="S47" s="8"/>
      <c r="T47" s="8"/>
      <c r="U47" s="8"/>
    </row>
    <row r="48" spans="1:21">
      <c r="A48" s="95"/>
      <c r="B48" s="32"/>
      <c r="C48" s="32"/>
      <c r="D48" s="32"/>
      <c r="E48" s="96"/>
      <c r="F48" s="97"/>
      <c r="G48" s="32"/>
      <c r="H48" s="29"/>
      <c r="K48" s="6"/>
      <c r="L48" s="6"/>
      <c r="M48" s="6"/>
      <c r="N48" s="6"/>
      <c r="O48" s="6"/>
      <c r="S48" s="8"/>
      <c r="T48" s="8"/>
      <c r="U48" s="8"/>
    </row>
    <row r="49" spans="1:21">
      <c r="A49" s="95"/>
      <c r="B49" s="32"/>
      <c r="C49" s="32"/>
      <c r="D49" s="32"/>
      <c r="E49" s="96"/>
      <c r="F49" s="97"/>
      <c r="G49" s="32"/>
      <c r="H49" s="29"/>
      <c r="K49" s="6"/>
      <c r="L49" s="6"/>
      <c r="M49" s="6"/>
      <c r="N49" s="6"/>
      <c r="O49" s="6"/>
      <c r="S49" s="8"/>
      <c r="T49" s="8"/>
      <c r="U49" s="8"/>
    </row>
    <row r="50" spans="1:21">
      <c r="A50" s="95"/>
      <c r="B50" s="32"/>
      <c r="C50" s="32"/>
      <c r="D50" s="32"/>
      <c r="E50" s="96"/>
      <c r="F50" s="97"/>
      <c r="G50" s="32"/>
      <c r="H50" s="29"/>
      <c r="K50" s="6"/>
      <c r="L50" s="6"/>
      <c r="M50" s="6"/>
      <c r="N50" s="6"/>
      <c r="O50" s="6"/>
      <c r="S50" s="8"/>
      <c r="T50" s="8"/>
      <c r="U50" s="8"/>
    </row>
    <row r="51" spans="1:21">
      <c r="A51" s="95"/>
      <c r="B51" s="32"/>
      <c r="C51" s="32"/>
      <c r="D51" s="32"/>
      <c r="E51" s="96"/>
      <c r="F51" s="97"/>
      <c r="G51" s="32"/>
      <c r="H51" s="29"/>
      <c r="K51" s="6"/>
      <c r="L51" s="6"/>
      <c r="M51" s="6"/>
      <c r="N51" s="6"/>
      <c r="O51" s="6"/>
      <c r="S51" s="8"/>
      <c r="T51" s="8"/>
      <c r="U51" s="8"/>
    </row>
    <row r="52" spans="1:21">
      <c r="A52" s="95"/>
      <c r="B52" s="32"/>
      <c r="C52" s="32"/>
      <c r="D52" s="32"/>
      <c r="E52" s="96"/>
      <c r="F52" s="97"/>
      <c r="G52" s="32"/>
      <c r="H52" s="29"/>
      <c r="K52" s="6"/>
      <c r="L52" s="6"/>
      <c r="M52" s="6"/>
      <c r="N52" s="6"/>
      <c r="O52" s="6"/>
      <c r="S52" s="8"/>
      <c r="T52" s="8"/>
      <c r="U52" s="8"/>
    </row>
    <row r="53" spans="1:21">
      <c r="A53" s="95"/>
      <c r="B53" s="32"/>
      <c r="C53" s="32"/>
      <c r="D53" s="32"/>
      <c r="E53" s="96"/>
      <c r="F53" s="97"/>
      <c r="G53" s="32"/>
      <c r="H53" s="29"/>
      <c r="K53" s="6"/>
      <c r="L53" s="6"/>
      <c r="M53" s="6"/>
      <c r="N53" s="6"/>
      <c r="O53" s="6"/>
      <c r="S53" s="8"/>
      <c r="T53" s="8"/>
      <c r="U53" s="8"/>
    </row>
    <row r="54" spans="1:21">
      <c r="A54" s="95"/>
      <c r="B54" s="32"/>
      <c r="C54" s="32"/>
      <c r="D54" s="32"/>
      <c r="E54" s="96"/>
      <c r="F54" s="97"/>
      <c r="G54" s="32"/>
      <c r="H54" s="29"/>
      <c r="K54" s="6"/>
      <c r="L54" s="6"/>
      <c r="M54" s="6"/>
      <c r="N54" s="6"/>
      <c r="O54" s="6"/>
      <c r="S54" s="8"/>
      <c r="T54" s="8"/>
      <c r="U54" s="8"/>
    </row>
    <row r="55" spans="1:21">
      <c r="A55" s="95"/>
      <c r="B55" s="32"/>
      <c r="C55" s="32"/>
      <c r="D55" s="32"/>
      <c r="E55" s="96"/>
      <c r="F55" s="97"/>
      <c r="G55" s="32"/>
      <c r="H55" s="29"/>
      <c r="K55" s="6"/>
      <c r="L55" s="6"/>
      <c r="M55" s="6"/>
      <c r="N55" s="6"/>
      <c r="O55" s="6"/>
      <c r="S55" s="8"/>
      <c r="T55" s="8"/>
      <c r="U55" s="8"/>
    </row>
    <row r="56" spans="1:21">
      <c r="A56" s="95"/>
      <c r="B56" s="32"/>
      <c r="C56" s="32"/>
      <c r="D56" s="32"/>
      <c r="E56" s="96"/>
      <c r="F56" s="97"/>
      <c r="G56" s="32"/>
      <c r="H56" s="29"/>
      <c r="K56" s="6"/>
      <c r="L56" s="6"/>
      <c r="M56" s="6"/>
      <c r="N56" s="6"/>
      <c r="O56" s="6"/>
      <c r="S56" s="8"/>
      <c r="T56" s="8"/>
      <c r="U56" s="8"/>
    </row>
    <row r="57" spans="1:21">
      <c r="A57" s="95"/>
      <c r="B57" s="32"/>
      <c r="C57" s="32"/>
      <c r="D57" s="32"/>
      <c r="E57" s="96"/>
      <c r="F57" s="97"/>
      <c r="G57" s="32"/>
      <c r="H57" s="29"/>
      <c r="K57" s="6"/>
      <c r="L57" s="6"/>
      <c r="M57" s="6"/>
      <c r="N57" s="6"/>
      <c r="O57" s="6"/>
      <c r="S57" s="8"/>
      <c r="T57" s="8"/>
      <c r="U57" s="8"/>
    </row>
    <row r="58" spans="1:21">
      <c r="A58" s="95"/>
      <c r="B58" s="32"/>
      <c r="C58" s="32"/>
      <c r="D58" s="32"/>
      <c r="E58" s="96"/>
      <c r="F58" s="97"/>
      <c r="G58" s="32"/>
      <c r="H58" s="29"/>
      <c r="K58" s="6"/>
      <c r="L58" s="6"/>
      <c r="M58" s="6"/>
      <c r="N58" s="6"/>
      <c r="O58" s="6"/>
      <c r="S58" s="8"/>
      <c r="T58" s="8"/>
      <c r="U58" s="8"/>
    </row>
    <row r="59" spans="1:21">
      <c r="A59" s="95"/>
      <c r="B59" s="32"/>
      <c r="C59" s="32"/>
      <c r="D59" s="32"/>
      <c r="E59" s="96"/>
      <c r="F59" s="97"/>
      <c r="G59" s="32"/>
      <c r="H59" s="29"/>
      <c r="K59" s="6"/>
      <c r="L59" s="6"/>
      <c r="M59" s="6"/>
      <c r="N59" s="6"/>
      <c r="O59" s="6"/>
      <c r="S59" s="8"/>
      <c r="T59" s="8"/>
      <c r="U59" s="8"/>
    </row>
    <row r="60" spans="1:21">
      <c r="A60" s="95"/>
      <c r="B60" s="32"/>
      <c r="C60" s="32"/>
      <c r="D60" s="95"/>
      <c r="E60" s="95"/>
      <c r="F60" s="95"/>
      <c r="G60" s="95"/>
    </row>
    <row r="61" spans="1:21">
      <c r="A61" s="95"/>
      <c r="B61" s="32"/>
      <c r="C61" s="32"/>
      <c r="D61" s="95"/>
      <c r="E61" s="95"/>
      <c r="F61" s="95"/>
      <c r="G61" s="95"/>
    </row>
    <row r="62" spans="1:21">
      <c r="A62" s="95"/>
      <c r="B62" s="32"/>
      <c r="C62" s="32"/>
      <c r="D62" s="95"/>
      <c r="E62" s="95"/>
      <c r="F62" s="95"/>
      <c r="G62" s="95"/>
    </row>
    <row r="63" spans="1:21">
      <c r="A63" s="95"/>
      <c r="B63" s="32"/>
      <c r="C63" s="32"/>
      <c r="D63" s="95"/>
      <c r="E63" s="95"/>
      <c r="F63" s="95"/>
      <c r="G63" s="95"/>
    </row>
  </sheetData>
  <sheetProtection password="DC9E" sheet="1" objects="1" scenarios="1"/>
  <dataConsolidate/>
  <mergeCells count="9">
    <mergeCell ref="A9:A10"/>
    <mergeCell ref="H9:H10"/>
    <mergeCell ref="B1:H1"/>
    <mergeCell ref="B2:H2"/>
    <mergeCell ref="D3:H7"/>
    <mergeCell ref="E9:G9"/>
    <mergeCell ref="B9:B10"/>
    <mergeCell ref="C9:C10"/>
    <mergeCell ref="D9:D10"/>
  </mergeCells>
  <dataValidations count="10">
    <dataValidation type="list" allowBlank="1" showInputMessage="1" showErrorMessage="1" sqref="M10:M12">
      <formula1>$D$1:$D$9</formula1>
    </dataValidation>
    <dataValidation type="list" allowBlank="1" showInputMessage="1" showErrorMessage="1" promptTitle="Rice" prompt="Choose value" sqref="K9">
      <formula1>(Rice)</formula1>
    </dataValidation>
    <dataValidation type="list" allowBlank="1" showInputMessage="1" showErrorMessage="1" promptTitle="Rayleigh" prompt="Choose value" sqref="L9">
      <formula1>(Ray)</formula1>
    </dataValidation>
    <dataValidation type="list" allowBlank="1" showInputMessage="1" showErrorMessage="1" promptTitle="Mode" prompt="normal: 7.61&#10;8k extended: 7.71&#10;16k,32k extended: 7.77" sqref="H14">
      <formula1>$N$10:$N$12</formula1>
    </dataValidation>
    <dataValidation type="list" allowBlank="1" showInputMessage="1" showErrorMessage="1" promptTitle="Mode" prompt="7.61 (normal)&#10;7.71 (8k extended)&#10;7.77 (16k,32k extended)" sqref="C7">
      <formula1>"7.61,7.71,7.77"</formula1>
    </dataValidation>
    <dataValidation type="list" allowBlank="1" showInputMessage="1" showErrorMessage="1" prompt="23.5 (urban)&#10;17 (suburban)&#10;16.5 (rural)" sqref="F26:G26">
      <formula1>"23.5,17,16.5,0"</formula1>
    </dataValidation>
    <dataValidation type="list" showInputMessage="1" showErrorMessage="1" sqref="C3">
      <formula1>"1,2,3,4,5,6,7,8"</formula1>
    </dataValidation>
    <dataValidation type="list" showInputMessage="1" showErrorMessage="1" sqref="C4">
      <formula1>"QPSK,16-QAM,64-QAM,256-QAM"</formula1>
    </dataValidation>
    <dataValidation type="list" allowBlank="1" showInputMessage="1" showErrorMessage="1" sqref="C5">
      <formula1>Requied_CN!D7:D12</formula1>
    </dataValidation>
    <dataValidation type="whole" allowBlank="1" showInputMessage="1" showErrorMessage="1" sqref="C6">
      <formula1>470</formula1>
      <formula2>790</formula2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Requied_CN!$D$7:$D$12</xm:f>
          </x14:formula1>
          <xm:sqref>B5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correction_factor</vt:lpstr>
      <vt:lpstr>Requied_CN</vt:lpstr>
      <vt:lpstr>Field_Strength_Calculation</vt:lpstr>
      <vt:lpstr>CodeRate</vt:lpstr>
      <vt:lpstr>Constellation</vt:lpstr>
      <vt:lpstr>Gauss</vt:lpstr>
      <vt:lpstr>Ray</vt:lpstr>
      <vt:lpstr>Rice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Supatrasit.s</dc:creator>
  <cp:lastModifiedBy>Supatrasit.s</cp:lastModifiedBy>
  <dcterms:created xsi:type="dcterms:W3CDTF">2012-08-06T02:05:44Z</dcterms:created>
  <dcterms:modified xsi:type="dcterms:W3CDTF">2013-08-08T06:20:28Z</dcterms:modified>
</cp:coreProperties>
</file>